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4-2025/POLOS I-II-IX-X/Planilhas/"/>
    </mc:Choice>
  </mc:AlternateContent>
  <xr:revisionPtr revIDLastSave="83" documentId="13_ncr:1_{C1119905-55B9-4E52-8667-DA74B1365B91}" xr6:coauthVersionLast="47" xr6:coauthVersionMax="47" xr10:uidLastSave="{D76214E1-CF4D-4DD5-B530-5481D2E87D69}"/>
  <bookViews>
    <workbookView xWindow="-28920" yWindow="-120" windowWidth="29040" windowHeight="15720" tabRatio="940" xr2:uid="{00000000-000D-0000-FFFF-FFFF00000000}"/>
  </bookViews>
  <sheets>
    <sheet name="Valor da Contratação" sheetId="1" r:id="rId1"/>
    <sheet name="Resumo" sheetId="2" r:id="rId2"/>
    <sheet name="Equipe Técnica" sheetId="3" r:id="rId3"/>
    <sheet name="Base Maringá" sheetId="4" r:id="rId4"/>
    <sheet name="Desl. Base Maringá" sheetId="5" r:id="rId5"/>
    <sheet name="Base Cascavel" sheetId="13" r:id="rId6"/>
    <sheet name="Desl. Base Cascavel" sheetId="14" r:id="rId7"/>
    <sheet name="Comp. Veículo" sheetId="6" r:id="rId8"/>
    <sheet name="Custo Eng. Eletricista" sheetId="7" r:id="rId9"/>
    <sheet name="Comp. Eng. Eletricista" sheetId="8" r:id="rId10"/>
    <sheet name="Custo Oficial de Manutenção" sheetId="9" r:id="rId11"/>
    <sheet name="Comp. Oficial de Manutenção" sheetId="10" r:id="rId12"/>
    <sheet name="Unidades" sheetId="11" r:id="rId13"/>
    <sheet name="BDI" sheetId="12" r:id="rId14"/>
  </sheets>
  <definedNames>
    <definedName name="___xlnm__FilterDatabase_6">#REF!</definedName>
    <definedName name="_FilterDatabase_3">#REF!</definedName>
    <definedName name="_xlnm.Print_Area" localSheetId="5">'Base Cascavel'!$B$2:$AW$23</definedName>
    <definedName name="_xlnm.Print_Area" localSheetId="3">'Base Maringá'!$B$2:$AW$24</definedName>
    <definedName name="_xlnm.Print_Area" localSheetId="13">BDI!$B$1:$J$44</definedName>
    <definedName name="_xlnm.Print_Area" localSheetId="6">'Desl. Base Cascavel'!$B$2:$M$32</definedName>
    <definedName name="_xlnm.Print_Area" localSheetId="4">'Desl. Base Maringá'!$B$2:$M$33</definedName>
    <definedName name="_xlnm.Print_Area" localSheetId="2">'Equipe Técnica'!$B$2:$E$13</definedName>
    <definedName name="_xlnm.Print_Area" localSheetId="12">Unidades!$B$2:$H$18</definedName>
    <definedName name="Excel_BuiltIn__FilterDatabase_9_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8" l="1"/>
  <c r="E22" i="13"/>
  <c r="D22" i="13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5" i="11"/>
  <c r="B26" i="2" l="1"/>
  <c r="K6" i="5" l="1"/>
  <c r="L6" i="5" s="1"/>
  <c r="O6" i="5" s="1"/>
  <c r="G5" i="5"/>
  <c r="G6" i="5"/>
  <c r="K6" i="14"/>
  <c r="G5" i="14"/>
  <c r="G6" i="14"/>
  <c r="X8" i="13"/>
  <c r="X9" i="13"/>
  <c r="X10" i="13"/>
  <c r="X11" i="13"/>
  <c r="X12" i="13"/>
  <c r="X13" i="13"/>
  <c r="X14" i="13"/>
  <c r="X15" i="13"/>
  <c r="X16" i="13"/>
  <c r="X17" i="13"/>
  <c r="X18" i="13"/>
  <c r="X7" i="13"/>
  <c r="W8" i="13"/>
  <c r="W9" i="13"/>
  <c r="W10" i="13"/>
  <c r="W11" i="13"/>
  <c r="W12" i="13"/>
  <c r="W13" i="13"/>
  <c r="W14" i="13"/>
  <c r="W15" i="13"/>
  <c r="W16" i="13"/>
  <c r="W17" i="13"/>
  <c r="W18" i="13"/>
  <c r="W7" i="13"/>
  <c r="J8" i="13"/>
  <c r="J9" i="13"/>
  <c r="J10" i="13"/>
  <c r="J11" i="13"/>
  <c r="J12" i="13"/>
  <c r="J13" i="13"/>
  <c r="J14" i="13"/>
  <c r="J15" i="13"/>
  <c r="J16" i="13"/>
  <c r="J17" i="13"/>
  <c r="J18" i="13"/>
  <c r="K8" i="13"/>
  <c r="R5" i="14" s="1"/>
  <c r="K9" i="13"/>
  <c r="R6" i="14" s="1"/>
  <c r="K10" i="13"/>
  <c r="R7" i="14" s="1"/>
  <c r="K11" i="13"/>
  <c r="R8" i="14" s="1"/>
  <c r="K12" i="13"/>
  <c r="R9" i="14" s="1"/>
  <c r="K13" i="13"/>
  <c r="R11" i="14" s="1"/>
  <c r="K14" i="13"/>
  <c r="R12" i="14" s="1"/>
  <c r="K15" i="13"/>
  <c r="R13" i="14" s="1"/>
  <c r="K16" i="13"/>
  <c r="R14" i="14" s="1"/>
  <c r="K17" i="13"/>
  <c r="R15" i="14" s="1"/>
  <c r="K18" i="13"/>
  <c r="R16" i="14" s="1"/>
  <c r="K16" i="14"/>
  <c r="L16" i="14" s="1"/>
  <c r="O16" i="14" s="1"/>
  <c r="G16" i="14"/>
  <c r="K15" i="14"/>
  <c r="L15" i="14" s="1"/>
  <c r="O15" i="14" s="1"/>
  <c r="G15" i="14"/>
  <c r="K13" i="14"/>
  <c r="L13" i="14" s="1"/>
  <c r="O13" i="14" s="1"/>
  <c r="O14" i="14" s="1"/>
  <c r="I13" i="14"/>
  <c r="E13" i="14"/>
  <c r="G13" i="14" s="1"/>
  <c r="I11" i="14"/>
  <c r="K11" i="14" s="1"/>
  <c r="L11" i="14" s="1"/>
  <c r="O11" i="14" s="1"/>
  <c r="O12" i="14" s="1"/>
  <c r="E11" i="14"/>
  <c r="G11" i="14" s="1"/>
  <c r="I9" i="14"/>
  <c r="K9" i="14" s="1"/>
  <c r="L9" i="14" s="1"/>
  <c r="O9" i="14" s="1"/>
  <c r="O10" i="14" s="1"/>
  <c r="G9" i="14"/>
  <c r="E9" i="14"/>
  <c r="I7" i="14"/>
  <c r="L6" i="14" s="1"/>
  <c r="O6" i="14" s="1"/>
  <c r="E7" i="14"/>
  <c r="K5" i="14"/>
  <c r="L5" i="14" s="1"/>
  <c r="O5" i="14" s="1"/>
  <c r="C4" i="14"/>
  <c r="B2" i="14"/>
  <c r="J8" i="4"/>
  <c r="J9" i="4"/>
  <c r="J10" i="4"/>
  <c r="J11" i="4"/>
  <c r="J12" i="4"/>
  <c r="J13" i="4"/>
  <c r="J14" i="4"/>
  <c r="J15" i="4"/>
  <c r="J16" i="4"/>
  <c r="J17" i="4"/>
  <c r="J18" i="4"/>
  <c r="J19" i="4"/>
  <c r="K8" i="4"/>
  <c r="K9" i="4"/>
  <c r="K10" i="4"/>
  <c r="K11" i="4"/>
  <c r="K12" i="4"/>
  <c r="K13" i="4"/>
  <c r="K14" i="4"/>
  <c r="K15" i="4"/>
  <c r="K16" i="4"/>
  <c r="K17" i="4"/>
  <c r="K18" i="4"/>
  <c r="K19" i="4"/>
  <c r="K17" i="5"/>
  <c r="L17" i="5" s="1"/>
  <c r="O17" i="5" s="1"/>
  <c r="G17" i="5"/>
  <c r="I15" i="5"/>
  <c r="K15" i="5" s="1"/>
  <c r="L15" i="5" s="1"/>
  <c r="O15" i="5" s="1"/>
  <c r="O16" i="5" s="1"/>
  <c r="G15" i="5"/>
  <c r="E15" i="5"/>
  <c r="I13" i="5"/>
  <c r="K13" i="5" s="1"/>
  <c r="L13" i="5" s="1"/>
  <c r="O13" i="5" s="1"/>
  <c r="O14" i="5" s="1"/>
  <c r="E13" i="5"/>
  <c r="G13" i="5" s="1"/>
  <c r="K11" i="5"/>
  <c r="L11" i="5" s="1"/>
  <c r="O11" i="5" s="1"/>
  <c r="O12" i="5" s="1"/>
  <c r="I11" i="5"/>
  <c r="G11" i="5"/>
  <c r="E11" i="5"/>
  <c r="I9" i="5"/>
  <c r="K9" i="5" s="1"/>
  <c r="L9" i="5" s="1"/>
  <c r="O9" i="5" s="1"/>
  <c r="O10" i="5" s="1"/>
  <c r="G9" i="5"/>
  <c r="E9" i="5"/>
  <c r="K7" i="5"/>
  <c r="L7" i="5" s="1"/>
  <c r="O7" i="5" s="1"/>
  <c r="O8" i="5" s="1"/>
  <c r="G7" i="5"/>
  <c r="O5" i="5"/>
  <c r="L5" i="5"/>
  <c r="K5" i="5"/>
  <c r="B40" i="2"/>
  <c r="B29" i="2"/>
  <c r="B30" i="2"/>
  <c r="B31" i="2"/>
  <c r="B32" i="2"/>
  <c r="B33" i="2"/>
  <c r="B34" i="2"/>
  <c r="B35" i="2"/>
  <c r="B36" i="2"/>
  <c r="B37" i="2"/>
  <c r="B38" i="2"/>
  <c r="B39" i="2"/>
  <c r="B28" i="2"/>
  <c r="AS4" i="13"/>
  <c r="AI2" i="13"/>
  <c r="Q2" i="13"/>
  <c r="B2" i="13"/>
  <c r="C31" i="14"/>
  <c r="N17" i="14"/>
  <c r="M17" i="14"/>
  <c r="B23" i="13"/>
  <c r="AI18" i="13"/>
  <c r="Q18" i="13"/>
  <c r="F18" i="13"/>
  <c r="E18" i="13"/>
  <c r="D18" i="13"/>
  <c r="C18" i="13"/>
  <c r="AI17" i="13"/>
  <c r="Q17" i="13"/>
  <c r="F17" i="13"/>
  <c r="E17" i="13"/>
  <c r="D17" i="13"/>
  <c r="C17" i="13"/>
  <c r="AI16" i="13"/>
  <c r="Q16" i="13"/>
  <c r="F16" i="13"/>
  <c r="E16" i="13"/>
  <c r="D16" i="13"/>
  <c r="C16" i="13"/>
  <c r="AI15" i="13"/>
  <c r="Q15" i="13"/>
  <c r="F15" i="13"/>
  <c r="E15" i="13"/>
  <c r="D15" i="13"/>
  <c r="C15" i="13"/>
  <c r="AI14" i="13"/>
  <c r="Q14" i="13"/>
  <c r="F14" i="13"/>
  <c r="E14" i="13"/>
  <c r="D14" i="13"/>
  <c r="C14" i="13"/>
  <c r="AI13" i="13"/>
  <c r="Q13" i="13"/>
  <c r="F13" i="13"/>
  <c r="E13" i="13"/>
  <c r="D13" i="13"/>
  <c r="C13" i="13"/>
  <c r="AI12" i="13"/>
  <c r="Q12" i="13"/>
  <c r="F12" i="13"/>
  <c r="E12" i="13"/>
  <c r="D12" i="13"/>
  <c r="C12" i="13"/>
  <c r="AI11" i="13"/>
  <c r="Q11" i="13"/>
  <c r="F11" i="13"/>
  <c r="E11" i="13"/>
  <c r="D11" i="13"/>
  <c r="C11" i="13"/>
  <c r="AI10" i="13"/>
  <c r="Q10" i="13"/>
  <c r="F10" i="13"/>
  <c r="E10" i="13"/>
  <c r="D10" i="13"/>
  <c r="C10" i="13"/>
  <c r="AI9" i="13"/>
  <c r="Q9" i="13"/>
  <c r="F9" i="13"/>
  <c r="E9" i="13"/>
  <c r="D9" i="13"/>
  <c r="C9" i="13"/>
  <c r="AI8" i="13"/>
  <c r="Q8" i="13"/>
  <c r="F8" i="13"/>
  <c r="E8" i="13"/>
  <c r="D8" i="13"/>
  <c r="C8" i="13"/>
  <c r="AI7" i="13"/>
  <c r="Q7" i="13"/>
  <c r="K7" i="13"/>
  <c r="R10" i="14" s="1"/>
  <c r="J7" i="13"/>
  <c r="F7" i="13"/>
  <c r="E7" i="13"/>
  <c r="D7" i="13"/>
  <c r="C7" i="13"/>
  <c r="G12" i="13" l="1"/>
  <c r="H12" i="13" s="1"/>
  <c r="I12" i="13" s="1"/>
  <c r="G18" i="13"/>
  <c r="H18" i="13" s="1"/>
  <c r="M18" i="13" s="1"/>
  <c r="J19" i="13"/>
  <c r="G16" i="13"/>
  <c r="H16" i="13" s="1"/>
  <c r="L16" i="13" s="1"/>
  <c r="G17" i="13"/>
  <c r="H17" i="13" s="1"/>
  <c r="L17" i="13" s="1"/>
  <c r="X19" i="13"/>
  <c r="K7" i="14"/>
  <c r="L7" i="14" s="1"/>
  <c r="O7" i="14" s="1"/>
  <c r="O8" i="14" s="1"/>
  <c r="G7" i="14"/>
  <c r="G17" i="14"/>
  <c r="K17" i="14"/>
  <c r="G9" i="13"/>
  <c r="H9" i="13" s="1"/>
  <c r="M9" i="13" s="1"/>
  <c r="G8" i="13"/>
  <c r="H8" i="13" s="1"/>
  <c r="L8" i="13" s="1"/>
  <c r="G14" i="13"/>
  <c r="H14" i="13" s="1"/>
  <c r="I14" i="13" s="1"/>
  <c r="F19" i="13"/>
  <c r="G11" i="13"/>
  <c r="H11" i="13" s="1"/>
  <c r="L11" i="13" s="1"/>
  <c r="E19" i="13"/>
  <c r="G10" i="13"/>
  <c r="H10" i="13" s="1"/>
  <c r="M10" i="13" s="1"/>
  <c r="G15" i="13"/>
  <c r="H15" i="13" s="1"/>
  <c r="I15" i="13" s="1"/>
  <c r="G13" i="13"/>
  <c r="H13" i="13" s="1"/>
  <c r="L13" i="13" s="1"/>
  <c r="D19" i="13"/>
  <c r="C19" i="13"/>
  <c r="C6" i="2" s="1"/>
  <c r="Q17" i="14"/>
  <c r="P17" i="14"/>
  <c r="W19" i="13"/>
  <c r="K19" i="13"/>
  <c r="I17" i="13"/>
  <c r="G7" i="13"/>
  <c r="AJ18" i="13"/>
  <c r="F29" i="11"/>
  <c r="AJ17" i="13"/>
  <c r="F28" i="11"/>
  <c r="AJ16" i="13"/>
  <c r="F27" i="11"/>
  <c r="AJ15" i="13"/>
  <c r="F26" i="11"/>
  <c r="AJ14" i="13"/>
  <c r="F25" i="11"/>
  <c r="AJ13" i="13"/>
  <c r="F24" i="11"/>
  <c r="AJ12" i="13"/>
  <c r="F23" i="11"/>
  <c r="AJ11" i="13"/>
  <c r="F22" i="11"/>
  <c r="AJ10" i="13"/>
  <c r="F21" i="11"/>
  <c r="AJ9" i="13"/>
  <c r="F20" i="11"/>
  <c r="AJ8" i="13"/>
  <c r="AJ7" i="13"/>
  <c r="F18" i="11"/>
  <c r="F16" i="11"/>
  <c r="F15" i="11"/>
  <c r="F14" i="11"/>
  <c r="F13" i="11"/>
  <c r="F12" i="11"/>
  <c r="F11" i="11"/>
  <c r="F10" i="11"/>
  <c r="F9" i="11"/>
  <c r="F8" i="11"/>
  <c r="F7" i="11"/>
  <c r="F6" i="11"/>
  <c r="F5" i="11"/>
  <c r="I18" i="13" l="1"/>
  <c r="L12" i="13"/>
  <c r="I16" i="13"/>
  <c r="M16" i="13"/>
  <c r="M12" i="13"/>
  <c r="L14" i="13"/>
  <c r="M13" i="13"/>
  <c r="I9" i="13"/>
  <c r="L9" i="13"/>
  <c r="L18" i="13"/>
  <c r="M11" i="13"/>
  <c r="M8" i="13"/>
  <c r="I11" i="13"/>
  <c r="M14" i="13"/>
  <c r="I13" i="13"/>
  <c r="I8" i="13"/>
  <c r="M17" i="13"/>
  <c r="N17" i="13" s="1"/>
  <c r="L15" i="13"/>
  <c r="M15" i="13"/>
  <c r="I10" i="13"/>
  <c r="L10" i="13"/>
  <c r="O17" i="14"/>
  <c r="L17" i="14"/>
  <c r="H7" i="13"/>
  <c r="G19" i="13"/>
  <c r="N16" i="13" l="1"/>
  <c r="N18" i="13"/>
  <c r="N12" i="13"/>
  <c r="N8" i="13"/>
  <c r="N13" i="13"/>
  <c r="N9" i="13"/>
  <c r="N14" i="13"/>
  <c r="N11" i="13"/>
  <c r="N15" i="13"/>
  <c r="N10" i="13"/>
  <c r="M7" i="13"/>
  <c r="H19" i="13"/>
  <c r="L7" i="13"/>
  <c r="I7" i="13"/>
  <c r="R17" i="5"/>
  <c r="O18" i="5" l="1"/>
  <c r="P18" i="5"/>
  <c r="I19" i="13"/>
  <c r="L19" i="13"/>
  <c r="M19" i="13"/>
  <c r="N7" i="13"/>
  <c r="D42" i="12"/>
  <c r="J30" i="12"/>
  <c r="E30" i="12"/>
  <c r="D30" i="12"/>
  <c r="J29" i="12"/>
  <c r="I29" i="12"/>
  <c r="I30" i="12" s="1"/>
  <c r="E29" i="12"/>
  <c r="D29" i="12"/>
  <c r="J28" i="12"/>
  <c r="I28" i="12"/>
  <c r="H28" i="12"/>
  <c r="H29" i="12" s="1"/>
  <c r="H30" i="12" s="1"/>
  <c r="G28" i="12"/>
  <c r="G29" i="12" s="1"/>
  <c r="G30" i="12" s="1"/>
  <c r="F28" i="12"/>
  <c r="F29" i="12" s="1"/>
  <c r="F30" i="12" s="1"/>
  <c r="E28" i="12"/>
  <c r="B3" i="12"/>
  <c r="B2" i="11"/>
  <c r="I22" i="10"/>
  <c r="I21" i="10"/>
  <c r="I20" i="10"/>
  <c r="I19" i="10"/>
  <c r="I18" i="10"/>
  <c r="I17" i="10"/>
  <c r="I16" i="10"/>
  <c r="I14" i="10"/>
  <c r="C17" i="9"/>
  <c r="C19" i="9" s="1"/>
  <c r="C16" i="9"/>
  <c r="C18" i="9" s="1"/>
  <c r="G15" i="10" s="1"/>
  <c r="I15" i="10" s="1"/>
  <c r="I20" i="8"/>
  <c r="I19" i="8"/>
  <c r="I18" i="8"/>
  <c r="I17" i="8"/>
  <c r="I15" i="8"/>
  <c r="C14" i="7"/>
  <c r="C13" i="7"/>
  <c r="G16" i="8" s="1"/>
  <c r="I16" i="8" s="1"/>
  <c r="G32" i="6"/>
  <c r="I32" i="6" s="1"/>
  <c r="G31" i="6"/>
  <c r="I31" i="6" s="1"/>
  <c r="G30" i="6"/>
  <c r="I30" i="6" s="1"/>
  <c r="D24" i="6"/>
  <c r="D23" i="6"/>
  <c r="I18" i="6"/>
  <c r="I17" i="6"/>
  <c r="I16" i="6"/>
  <c r="I15" i="6"/>
  <c r="I14" i="6"/>
  <c r="C32" i="5"/>
  <c r="N18" i="5"/>
  <c r="M18" i="5"/>
  <c r="Q18" i="5"/>
  <c r="C4" i="5"/>
  <c r="B2" i="5"/>
  <c r="B24" i="4"/>
  <c r="R10" i="5"/>
  <c r="R9" i="5"/>
  <c r="AI19" i="4"/>
  <c r="AJ19" i="4" s="1"/>
  <c r="Q19" i="4"/>
  <c r="R5" i="5"/>
  <c r="F19" i="4"/>
  <c r="E19" i="4"/>
  <c r="D19" i="4"/>
  <c r="C19" i="4"/>
  <c r="AI18" i="4"/>
  <c r="Q18" i="4"/>
  <c r="R16" i="5"/>
  <c r="F18" i="4"/>
  <c r="E18" i="4"/>
  <c r="D18" i="4"/>
  <c r="C18" i="4"/>
  <c r="AI17" i="4"/>
  <c r="AJ17" i="4" s="1"/>
  <c r="Q17" i="4"/>
  <c r="X17" i="4" s="1"/>
  <c r="F17" i="4"/>
  <c r="E17" i="4"/>
  <c r="D17" i="4"/>
  <c r="C17" i="4"/>
  <c r="AI16" i="4"/>
  <c r="Q16" i="4"/>
  <c r="X16" i="4" s="1"/>
  <c r="R14" i="5"/>
  <c r="F16" i="4"/>
  <c r="E16" i="4"/>
  <c r="D16" i="4"/>
  <c r="C16" i="4"/>
  <c r="AI15" i="4"/>
  <c r="Q15" i="4"/>
  <c r="X15" i="4" s="1"/>
  <c r="R8" i="5"/>
  <c r="F15" i="4"/>
  <c r="E15" i="4"/>
  <c r="D15" i="4"/>
  <c r="C15" i="4"/>
  <c r="AI14" i="4"/>
  <c r="Q14" i="4"/>
  <c r="F14" i="4"/>
  <c r="E14" i="4"/>
  <c r="D14" i="4"/>
  <c r="C14" i="4"/>
  <c r="AI13" i="4"/>
  <c r="Q13" i="4"/>
  <c r="X13" i="4" s="1"/>
  <c r="F13" i="4"/>
  <c r="E13" i="4"/>
  <c r="D13" i="4"/>
  <c r="C13" i="4"/>
  <c r="AI12" i="4"/>
  <c r="Q12" i="4"/>
  <c r="F12" i="4"/>
  <c r="E12" i="4"/>
  <c r="D12" i="4"/>
  <c r="C12" i="4"/>
  <c r="AI11" i="4"/>
  <c r="Q11" i="4"/>
  <c r="X11" i="4" s="1"/>
  <c r="R12" i="5"/>
  <c r="F11" i="4"/>
  <c r="E11" i="4"/>
  <c r="D11" i="4"/>
  <c r="C11" i="4"/>
  <c r="AI10" i="4"/>
  <c r="Q10" i="4"/>
  <c r="X10" i="4" s="1"/>
  <c r="R13" i="5"/>
  <c r="F10" i="4"/>
  <c r="E10" i="4"/>
  <c r="D10" i="4"/>
  <c r="C10" i="4"/>
  <c r="AI9" i="4"/>
  <c r="Q9" i="4"/>
  <c r="X9" i="4" s="1"/>
  <c r="R15" i="5"/>
  <c r="F9" i="4"/>
  <c r="E9" i="4"/>
  <c r="D9" i="4"/>
  <c r="C9" i="4"/>
  <c r="AI8" i="4"/>
  <c r="Q8" i="4"/>
  <c r="X8" i="4" s="1"/>
  <c r="R11" i="5"/>
  <c r="F8" i="4"/>
  <c r="E8" i="4"/>
  <c r="D8" i="4"/>
  <c r="C8" i="4"/>
  <c r="AI7" i="4"/>
  <c r="Q7" i="4"/>
  <c r="X7" i="4" s="1"/>
  <c r="K7" i="4"/>
  <c r="R7" i="5" s="1"/>
  <c r="J7" i="4"/>
  <c r="F7" i="4"/>
  <c r="E7" i="4"/>
  <c r="D7" i="4"/>
  <c r="C7" i="4"/>
  <c r="AS4" i="4"/>
  <c r="AI2" i="4"/>
  <c r="Q2" i="4"/>
  <c r="B2" i="4"/>
  <c r="E8" i="3"/>
  <c r="C8" i="3"/>
  <c r="E7" i="3"/>
  <c r="C7" i="3"/>
  <c r="B2" i="3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9" i="2"/>
  <c r="B7" i="2"/>
  <c r="B2" i="2"/>
  <c r="R6" i="5" l="1"/>
  <c r="N19" i="13"/>
  <c r="W14" i="4"/>
  <c r="X14" i="4"/>
  <c r="W19" i="4"/>
  <c r="X19" i="4"/>
  <c r="W12" i="4"/>
  <c r="X12" i="4"/>
  <c r="W15" i="4"/>
  <c r="W18" i="4"/>
  <c r="X18" i="4"/>
  <c r="D27" i="6"/>
  <c r="D11" i="6"/>
  <c r="D11" i="8"/>
  <c r="D5" i="3" s="1"/>
  <c r="D8" i="3" s="1"/>
  <c r="C13" i="3" s="1"/>
  <c r="W11" i="4"/>
  <c r="G10" i="4"/>
  <c r="H10" i="4" s="1"/>
  <c r="L10" i="4" s="1"/>
  <c r="G14" i="4"/>
  <c r="H14" i="4" s="1"/>
  <c r="L14" i="4" s="1"/>
  <c r="G19" i="4"/>
  <c r="H19" i="4" s="1"/>
  <c r="L19" i="4" s="1"/>
  <c r="G12" i="4"/>
  <c r="H12" i="4" s="1"/>
  <c r="M12" i="4" s="1"/>
  <c r="G16" i="4"/>
  <c r="H16" i="4" s="1"/>
  <c r="I16" i="4" s="1"/>
  <c r="G8" i="4"/>
  <c r="H8" i="4" s="1"/>
  <c r="I8" i="4" s="1"/>
  <c r="G11" i="4"/>
  <c r="H11" i="4" s="1"/>
  <c r="L11" i="4" s="1"/>
  <c r="G15" i="4"/>
  <c r="H15" i="4" s="1"/>
  <c r="M15" i="4" s="1"/>
  <c r="G9" i="4"/>
  <c r="H9" i="4" s="1"/>
  <c r="L9" i="4" s="1"/>
  <c r="G13" i="4"/>
  <c r="H13" i="4" s="1"/>
  <c r="L13" i="4" s="1"/>
  <c r="G17" i="4"/>
  <c r="H17" i="4" s="1"/>
  <c r="L17" i="4" s="1"/>
  <c r="F20" i="4"/>
  <c r="AJ16" i="4"/>
  <c r="W17" i="4"/>
  <c r="AJ9" i="4"/>
  <c r="AJ18" i="4"/>
  <c r="AJ13" i="4"/>
  <c r="AJ12" i="4"/>
  <c r="D20" i="4"/>
  <c r="G7" i="4"/>
  <c r="E20" i="4"/>
  <c r="AJ11" i="4"/>
  <c r="AJ10" i="4"/>
  <c r="AJ7" i="4"/>
  <c r="W8" i="4"/>
  <c r="K20" i="4"/>
  <c r="AJ15" i="4"/>
  <c r="W16" i="4"/>
  <c r="W7" i="4"/>
  <c r="J20" i="4"/>
  <c r="J42" i="12"/>
  <c r="J43" i="12" s="1"/>
  <c r="J44" i="12" s="1"/>
  <c r="H42" i="12"/>
  <c r="H43" i="12" s="1"/>
  <c r="H44" i="12" s="1"/>
  <c r="G42" i="12"/>
  <c r="G43" i="12" s="1"/>
  <c r="G44" i="12" s="1"/>
  <c r="F42" i="12"/>
  <c r="F43" i="12" s="1"/>
  <c r="F44" i="12" s="1"/>
  <c r="E42" i="12"/>
  <c r="E43" i="12" s="1"/>
  <c r="E44" i="12" s="1"/>
  <c r="L18" i="5"/>
  <c r="I42" i="12"/>
  <c r="I43" i="12" s="1"/>
  <c r="I44" i="12" s="1"/>
  <c r="D43" i="12"/>
  <c r="D44" i="12" s="1"/>
  <c r="AJ14" i="4"/>
  <c r="G18" i="5"/>
  <c r="AJ8" i="4"/>
  <c r="D11" i="10"/>
  <c r="W13" i="4"/>
  <c r="W10" i="4"/>
  <c r="C20" i="4"/>
  <c r="C5" i="2" s="1"/>
  <c r="C7" i="2" s="1"/>
  <c r="G18" i="4"/>
  <c r="H18" i="4" s="1"/>
  <c r="W9" i="4"/>
  <c r="K18" i="5"/>
  <c r="E23" i="5" l="1"/>
  <c r="E22" i="14"/>
  <c r="C27" i="14" s="1"/>
  <c r="E22" i="5"/>
  <c r="C27" i="5" s="1"/>
  <c r="E21" i="14"/>
  <c r="C23" i="4"/>
  <c r="T14" i="4" s="1"/>
  <c r="C22" i="13"/>
  <c r="M19" i="4"/>
  <c r="I19" i="4"/>
  <c r="L15" i="4"/>
  <c r="M14" i="4"/>
  <c r="I10" i="4"/>
  <c r="M10" i="4"/>
  <c r="M11" i="4"/>
  <c r="I11" i="4"/>
  <c r="I14" i="4"/>
  <c r="I13" i="4"/>
  <c r="D7" i="3"/>
  <c r="C12" i="3" s="1"/>
  <c r="M13" i="4"/>
  <c r="L16" i="4"/>
  <c r="M16" i="4"/>
  <c r="X20" i="4"/>
  <c r="L8" i="4"/>
  <c r="M8" i="4"/>
  <c r="I12" i="4"/>
  <c r="L12" i="4"/>
  <c r="I9" i="4"/>
  <c r="I15" i="4"/>
  <c r="M9" i="4"/>
  <c r="I17" i="4"/>
  <c r="M17" i="4"/>
  <c r="V8" i="4"/>
  <c r="G20" i="4"/>
  <c r="H7" i="4"/>
  <c r="V17" i="4"/>
  <c r="W20" i="4"/>
  <c r="L18" i="4"/>
  <c r="I18" i="4"/>
  <c r="M18" i="4"/>
  <c r="V15" i="4"/>
  <c r="Y12" i="13" l="1"/>
  <c r="Y13" i="13"/>
  <c r="Y14" i="13"/>
  <c r="Y15" i="13"/>
  <c r="Y16" i="13"/>
  <c r="Y17" i="13"/>
  <c r="Y18" i="13"/>
  <c r="Y7" i="13"/>
  <c r="Y8" i="13"/>
  <c r="Y11" i="13"/>
  <c r="Y10" i="13"/>
  <c r="Y9" i="13"/>
  <c r="C26" i="14"/>
  <c r="U14" i="4"/>
  <c r="R11" i="4"/>
  <c r="T15" i="4"/>
  <c r="V10" i="4"/>
  <c r="V13" i="4"/>
  <c r="T9" i="4"/>
  <c r="R16" i="4"/>
  <c r="S8" i="4"/>
  <c r="U16" i="4"/>
  <c r="T11" i="4"/>
  <c r="U15" i="4"/>
  <c r="T19" i="4"/>
  <c r="U13" i="4"/>
  <c r="U19" i="4"/>
  <c r="R12" i="4"/>
  <c r="V7" i="4"/>
  <c r="U12" i="4"/>
  <c r="V12" i="4"/>
  <c r="R9" i="4"/>
  <c r="R18" i="4"/>
  <c r="T13" i="4"/>
  <c r="V9" i="4"/>
  <c r="S9" i="4"/>
  <c r="R10" i="4"/>
  <c r="V14" i="4"/>
  <c r="V11" i="4"/>
  <c r="S12" i="4"/>
  <c r="U11" i="4"/>
  <c r="V16" i="4"/>
  <c r="R14" i="4"/>
  <c r="V18" i="4"/>
  <c r="R8" i="4"/>
  <c r="R15" i="4"/>
  <c r="V19" i="4"/>
  <c r="T16" i="4"/>
  <c r="S17" i="4"/>
  <c r="S16" i="4"/>
  <c r="T17" i="4"/>
  <c r="R13" i="4"/>
  <c r="U9" i="4"/>
  <c r="S15" i="4"/>
  <c r="S13" i="4"/>
  <c r="T12" i="4"/>
  <c r="S11" i="4"/>
  <c r="U8" i="4"/>
  <c r="U10" i="4"/>
  <c r="R17" i="4"/>
  <c r="T10" i="4"/>
  <c r="R19" i="4"/>
  <c r="T8" i="4"/>
  <c r="S10" i="4"/>
  <c r="V9" i="13"/>
  <c r="V10" i="13"/>
  <c r="V11" i="13"/>
  <c r="V12" i="13"/>
  <c r="V13" i="13"/>
  <c r="V14" i="13"/>
  <c r="V15" i="13"/>
  <c r="V16" i="13"/>
  <c r="V17" i="13"/>
  <c r="V18" i="13"/>
  <c r="V7" i="13"/>
  <c r="V8" i="13"/>
  <c r="R18" i="13"/>
  <c r="R11" i="13"/>
  <c r="R17" i="13"/>
  <c r="R16" i="13"/>
  <c r="R8" i="13"/>
  <c r="R13" i="13"/>
  <c r="R12" i="13"/>
  <c r="R14" i="13"/>
  <c r="T11" i="13"/>
  <c r="R10" i="13"/>
  <c r="S12" i="13"/>
  <c r="T17" i="13"/>
  <c r="S13" i="13"/>
  <c r="T9" i="13"/>
  <c r="T15" i="13"/>
  <c r="T8" i="13"/>
  <c r="U9" i="13"/>
  <c r="T14" i="13"/>
  <c r="U13" i="13"/>
  <c r="S9" i="13"/>
  <c r="T12" i="13"/>
  <c r="U11" i="13"/>
  <c r="U14" i="13"/>
  <c r="R9" i="13"/>
  <c r="S8" i="13"/>
  <c r="U8" i="13"/>
  <c r="S14" i="13"/>
  <c r="U16" i="13"/>
  <c r="S15" i="13"/>
  <c r="U18" i="13"/>
  <c r="U10" i="13"/>
  <c r="T13" i="13"/>
  <c r="S18" i="13"/>
  <c r="S17" i="13"/>
  <c r="R15" i="13"/>
  <c r="U17" i="13"/>
  <c r="S16" i="13"/>
  <c r="T18" i="13"/>
  <c r="S11" i="13"/>
  <c r="U12" i="13"/>
  <c r="T16" i="13"/>
  <c r="U15" i="13"/>
  <c r="O11" i="13"/>
  <c r="T10" i="13"/>
  <c r="S10" i="13"/>
  <c r="O13" i="13"/>
  <c r="O15" i="13"/>
  <c r="O8" i="13"/>
  <c r="O16" i="13"/>
  <c r="O18" i="13"/>
  <c r="O17" i="13"/>
  <c r="O9" i="13"/>
  <c r="O14" i="13"/>
  <c r="O12" i="13"/>
  <c r="R7" i="13"/>
  <c r="O10" i="13"/>
  <c r="S7" i="13"/>
  <c r="T7" i="13"/>
  <c r="U7" i="13"/>
  <c r="O7" i="13"/>
  <c r="N19" i="4"/>
  <c r="Y19" i="4" s="1"/>
  <c r="N11" i="4"/>
  <c r="N17" i="4"/>
  <c r="S19" i="4"/>
  <c r="N10" i="4"/>
  <c r="N14" i="4"/>
  <c r="Y14" i="4" s="1"/>
  <c r="N13" i="4"/>
  <c r="S14" i="4"/>
  <c r="N8" i="4"/>
  <c r="N16" i="4"/>
  <c r="Y16" i="4" s="1"/>
  <c r="U17" i="4"/>
  <c r="N12" i="4"/>
  <c r="Y12" i="4" s="1"/>
  <c r="N15" i="4"/>
  <c r="N9" i="4"/>
  <c r="Y9" i="4" s="1"/>
  <c r="S18" i="4"/>
  <c r="T18" i="4"/>
  <c r="U18" i="4"/>
  <c r="N18" i="4"/>
  <c r="Y18" i="4" s="1"/>
  <c r="H20" i="4"/>
  <c r="L7" i="4"/>
  <c r="M7" i="4"/>
  <c r="I7" i="4"/>
  <c r="R7" i="4"/>
  <c r="O15" i="4" l="1"/>
  <c r="Y15" i="4"/>
  <c r="O10" i="4"/>
  <c r="Y10" i="4"/>
  <c r="O17" i="4"/>
  <c r="Y17" i="4"/>
  <c r="O11" i="4"/>
  <c r="Y11" i="4"/>
  <c r="O13" i="4"/>
  <c r="Y13" i="4"/>
  <c r="O8" i="4"/>
  <c r="Y8" i="4"/>
  <c r="Y19" i="13"/>
  <c r="V20" i="4"/>
  <c r="O19" i="13"/>
  <c r="U19" i="13"/>
  <c r="V19" i="13"/>
  <c r="T19" i="13"/>
  <c r="S19" i="13"/>
  <c r="R19" i="13"/>
  <c r="O19" i="4"/>
  <c r="O14" i="4"/>
  <c r="O12" i="4"/>
  <c r="O9" i="4"/>
  <c r="O16" i="4"/>
  <c r="I20" i="4"/>
  <c r="S7" i="4"/>
  <c r="U7" i="4"/>
  <c r="M20" i="4"/>
  <c r="N7" i="4"/>
  <c r="Y7" i="4" s="1"/>
  <c r="L20" i="4"/>
  <c r="T7" i="4"/>
  <c r="O18" i="4"/>
  <c r="R20" i="4"/>
  <c r="N20" i="4" l="1"/>
  <c r="O7" i="4"/>
  <c r="O20" i="4" s="1"/>
  <c r="U20" i="4"/>
  <c r="T20" i="4"/>
  <c r="S20" i="4"/>
  <c r="C28" i="14" l="1"/>
  <c r="AC5" i="4"/>
  <c r="AC5" i="13"/>
  <c r="Y20" i="4"/>
  <c r="C28" i="5"/>
  <c r="C29" i="5" s="1"/>
  <c r="Z8" i="13" l="1"/>
  <c r="AD8" i="13" s="1"/>
  <c r="AK8" i="13" s="1"/>
  <c r="AA16" i="13"/>
  <c r="AE16" i="13" s="1"/>
  <c r="AL16" i="13" s="1"/>
  <c r="AB8" i="13"/>
  <c r="AF8" i="13" s="1"/>
  <c r="AM8" i="13" s="1"/>
  <c r="Z13" i="13"/>
  <c r="AD13" i="13" s="1"/>
  <c r="AK13" i="13" s="1"/>
  <c r="AA17" i="13"/>
  <c r="AE17" i="13" s="1"/>
  <c r="AL17" i="13" s="1"/>
  <c r="AC18" i="13"/>
  <c r="AG18" i="13" s="1"/>
  <c r="AN18" i="13" s="1"/>
  <c r="AB10" i="13"/>
  <c r="AF10" i="13" s="1"/>
  <c r="AM10" i="13" s="1"/>
  <c r="Z12" i="13"/>
  <c r="AD12" i="13" s="1"/>
  <c r="AK12" i="13" s="1"/>
  <c r="AA14" i="13"/>
  <c r="AE14" i="13" s="1"/>
  <c r="AL14" i="13" s="1"/>
  <c r="AB9" i="13"/>
  <c r="AF9" i="13" s="1"/>
  <c r="AM9" i="13" s="1"/>
  <c r="Z7" i="13"/>
  <c r="Z18" i="13"/>
  <c r="AD18" i="13" s="1"/>
  <c r="AK18" i="13" s="1"/>
  <c r="AA8" i="13"/>
  <c r="AE8" i="13" s="1"/>
  <c r="AL8" i="13" s="1"/>
  <c r="AB15" i="13"/>
  <c r="AF15" i="13" s="1"/>
  <c r="AM15" i="13" s="1"/>
  <c r="AA7" i="13"/>
  <c r="Z10" i="13"/>
  <c r="AD10" i="13" s="1"/>
  <c r="AK10" i="13" s="1"/>
  <c r="AC15" i="13"/>
  <c r="AG15" i="13" s="1"/>
  <c r="AN15" i="13" s="1"/>
  <c r="AA9" i="13"/>
  <c r="AE9" i="13" s="1"/>
  <c r="AL9" i="13" s="1"/>
  <c r="AB7" i="13"/>
  <c r="Z14" i="13"/>
  <c r="AD14" i="13" s="1"/>
  <c r="AK14" i="13" s="1"/>
  <c r="AC13" i="13"/>
  <c r="AG13" i="13" s="1"/>
  <c r="AN13" i="13" s="1"/>
  <c r="AA15" i="13"/>
  <c r="AE15" i="13" s="1"/>
  <c r="AL15" i="13" s="1"/>
  <c r="AB16" i="13"/>
  <c r="AF16" i="13" s="1"/>
  <c r="AM16" i="13" s="1"/>
  <c r="AB14" i="13"/>
  <c r="AF14" i="13" s="1"/>
  <c r="AM14" i="13" s="1"/>
  <c r="AA18" i="13"/>
  <c r="AE18" i="13" s="1"/>
  <c r="AL18" i="13" s="1"/>
  <c r="AC7" i="13"/>
  <c r="AC10" i="13"/>
  <c r="AG10" i="13" s="1"/>
  <c r="AN10" i="13" s="1"/>
  <c r="AB17" i="13"/>
  <c r="AF17" i="13" s="1"/>
  <c r="AM17" i="13" s="1"/>
  <c r="Z15" i="13"/>
  <c r="AD15" i="13" s="1"/>
  <c r="AK15" i="13" s="1"/>
  <c r="AC11" i="13"/>
  <c r="AG11" i="13" s="1"/>
  <c r="AN11" i="13" s="1"/>
  <c r="Z9" i="13"/>
  <c r="AD9" i="13" s="1"/>
  <c r="AK9" i="13" s="1"/>
  <c r="AB13" i="13"/>
  <c r="AF13" i="13" s="1"/>
  <c r="AM13" i="13" s="1"/>
  <c r="AB11" i="13"/>
  <c r="AF11" i="13" s="1"/>
  <c r="AM11" i="13" s="1"/>
  <c r="AA10" i="13"/>
  <c r="AE10" i="13" s="1"/>
  <c r="AL10" i="13" s="1"/>
  <c r="AC14" i="13"/>
  <c r="AG14" i="13" s="1"/>
  <c r="AN14" i="13" s="1"/>
  <c r="AC8" i="13"/>
  <c r="AG8" i="13" s="1"/>
  <c r="AN8" i="13" s="1"/>
  <c r="Z17" i="13"/>
  <c r="AD17" i="13" s="1"/>
  <c r="AK17" i="13" s="1"/>
  <c r="AA11" i="13"/>
  <c r="AE11" i="13" s="1"/>
  <c r="AL11" i="13" s="1"/>
  <c r="AC12" i="13"/>
  <c r="AG12" i="13" s="1"/>
  <c r="AN12" i="13" s="1"/>
  <c r="AC9" i="13"/>
  <c r="AG9" i="13" s="1"/>
  <c r="AN9" i="13" s="1"/>
  <c r="AA12" i="13"/>
  <c r="AE12" i="13" s="1"/>
  <c r="AL12" i="13" s="1"/>
  <c r="Z11" i="13"/>
  <c r="AD11" i="13" s="1"/>
  <c r="AK11" i="13" s="1"/>
  <c r="AA13" i="13"/>
  <c r="AE13" i="13" s="1"/>
  <c r="AL13" i="13" s="1"/>
  <c r="AB12" i="13"/>
  <c r="AF12" i="13" s="1"/>
  <c r="AM12" i="13" s="1"/>
  <c r="AC17" i="13"/>
  <c r="AG17" i="13" s="1"/>
  <c r="AN17" i="13" s="1"/>
  <c r="AB18" i="13"/>
  <c r="AF18" i="13" s="1"/>
  <c r="AM18" i="13" s="1"/>
  <c r="AC16" i="13"/>
  <c r="AG16" i="13" s="1"/>
  <c r="AN16" i="13" s="1"/>
  <c r="Z16" i="13"/>
  <c r="AD16" i="13" s="1"/>
  <c r="AK16" i="13" s="1"/>
  <c r="Z17" i="4"/>
  <c r="AD17" i="4" s="1"/>
  <c r="AA17" i="4"/>
  <c r="AE17" i="4" s="1"/>
  <c r="AL17" i="4" s="1"/>
  <c r="Z9" i="4"/>
  <c r="AD9" i="4" s="1"/>
  <c r="Z8" i="4"/>
  <c r="AD8" i="4" s="1"/>
  <c r="Z10" i="4"/>
  <c r="AD10" i="4" s="1"/>
  <c r="Z12" i="4"/>
  <c r="AD12" i="4" s="1"/>
  <c r="AB13" i="4"/>
  <c r="AF13" i="4" s="1"/>
  <c r="AM13" i="4" s="1"/>
  <c r="AC17" i="4"/>
  <c r="AG17" i="4" s="1"/>
  <c r="AN17" i="4" s="1"/>
  <c r="Z15" i="4"/>
  <c r="AD15" i="4" s="1"/>
  <c r="Z14" i="4"/>
  <c r="AD14" i="4" s="1"/>
  <c r="Z13" i="4"/>
  <c r="AD13" i="4" s="1"/>
  <c r="Z16" i="4"/>
  <c r="AD16" i="4" s="1"/>
  <c r="Z19" i="4"/>
  <c r="AD19" i="4" s="1"/>
  <c r="Z11" i="4"/>
  <c r="AD11" i="4" s="1"/>
  <c r="AC15" i="4"/>
  <c r="AG15" i="4" s="1"/>
  <c r="AN15" i="4" s="1"/>
  <c r="AB9" i="4"/>
  <c r="AF9" i="4" s="1"/>
  <c r="AM9" i="4" s="1"/>
  <c r="AB10" i="4"/>
  <c r="AF10" i="4" s="1"/>
  <c r="AM10" i="4" s="1"/>
  <c r="AA12" i="4"/>
  <c r="AE12" i="4" s="1"/>
  <c r="AL12" i="4" s="1"/>
  <c r="AB16" i="4"/>
  <c r="AF16" i="4" s="1"/>
  <c r="AM16" i="4" s="1"/>
  <c r="AB12" i="4"/>
  <c r="AF12" i="4" s="1"/>
  <c r="AM12" i="4" s="1"/>
  <c r="AC14" i="4"/>
  <c r="AG14" i="4" s="1"/>
  <c r="AN14" i="4" s="1"/>
  <c r="AA11" i="4"/>
  <c r="AE11" i="4" s="1"/>
  <c r="AL11" i="4" s="1"/>
  <c r="Z18" i="4"/>
  <c r="AD18" i="4" s="1"/>
  <c r="AC13" i="4"/>
  <c r="AG13" i="4" s="1"/>
  <c r="AN13" i="4" s="1"/>
  <c r="AA10" i="4"/>
  <c r="AE10" i="4" s="1"/>
  <c r="AL10" i="4" s="1"/>
  <c r="AB14" i="4"/>
  <c r="AF14" i="4" s="1"/>
  <c r="AM14" i="4" s="1"/>
  <c r="AA16" i="4"/>
  <c r="AE16" i="4" s="1"/>
  <c r="AL16" i="4" s="1"/>
  <c r="AA8" i="4"/>
  <c r="AE8" i="4" s="1"/>
  <c r="AL8" i="4" s="1"/>
  <c r="AA15" i="4"/>
  <c r="AE15" i="4" s="1"/>
  <c r="AL15" i="4" s="1"/>
  <c r="AC19" i="4"/>
  <c r="AG19" i="4" s="1"/>
  <c r="AN19" i="4" s="1"/>
  <c r="AC12" i="4"/>
  <c r="AG12" i="4" s="1"/>
  <c r="AN12" i="4" s="1"/>
  <c r="AB11" i="4"/>
  <c r="AF11" i="4" s="1"/>
  <c r="AM11" i="4" s="1"/>
  <c r="AC10" i="4"/>
  <c r="AG10" i="4" s="1"/>
  <c r="AN10" i="4" s="1"/>
  <c r="AC11" i="4"/>
  <c r="AG11" i="4" s="1"/>
  <c r="AN11" i="4" s="1"/>
  <c r="AB8" i="4"/>
  <c r="AF8" i="4" s="1"/>
  <c r="AM8" i="4" s="1"/>
  <c r="AA19" i="4"/>
  <c r="AE19" i="4" s="1"/>
  <c r="AL19" i="4" s="1"/>
  <c r="AA13" i="4"/>
  <c r="AE13" i="4" s="1"/>
  <c r="AL13" i="4" s="1"/>
  <c r="AC9" i="4"/>
  <c r="AG9" i="4" s="1"/>
  <c r="AN9" i="4" s="1"/>
  <c r="AB15" i="4"/>
  <c r="AF15" i="4" s="1"/>
  <c r="AM15" i="4" s="1"/>
  <c r="AA14" i="4"/>
  <c r="AE14" i="4" s="1"/>
  <c r="AL14" i="4" s="1"/>
  <c r="AA9" i="4"/>
  <c r="AE9" i="4" s="1"/>
  <c r="AL9" i="4" s="1"/>
  <c r="AC16" i="4"/>
  <c r="AG16" i="4" s="1"/>
  <c r="AN16" i="4" s="1"/>
  <c r="AB17" i="4"/>
  <c r="AF17" i="4" s="1"/>
  <c r="AM17" i="4" s="1"/>
  <c r="AC8" i="4"/>
  <c r="AG8" i="4" s="1"/>
  <c r="AN8" i="4" s="1"/>
  <c r="AB19" i="4"/>
  <c r="AF19" i="4" s="1"/>
  <c r="AM19" i="4" s="1"/>
  <c r="AB18" i="4"/>
  <c r="AF18" i="4" s="1"/>
  <c r="AM18" i="4" s="1"/>
  <c r="Z7" i="4"/>
  <c r="AC18" i="4"/>
  <c r="AG18" i="4" s="1"/>
  <c r="AN18" i="4" s="1"/>
  <c r="AA18" i="4"/>
  <c r="AE18" i="4" s="1"/>
  <c r="AL18" i="4" s="1"/>
  <c r="AB7" i="4"/>
  <c r="AC7" i="4"/>
  <c r="AA7" i="4"/>
  <c r="AO11" i="13" l="1"/>
  <c r="AP11" i="13" s="1"/>
  <c r="AQ11" i="13" s="1"/>
  <c r="AO16" i="13"/>
  <c r="AO18" i="13"/>
  <c r="AO14" i="13"/>
  <c r="AO12" i="13"/>
  <c r="AO9" i="13"/>
  <c r="AB19" i="13"/>
  <c r="AF7" i="13"/>
  <c r="AO15" i="13"/>
  <c r="AO10" i="13"/>
  <c r="AO13" i="13"/>
  <c r="AA19" i="13"/>
  <c r="AE7" i="13"/>
  <c r="Z19" i="13"/>
  <c r="AD7" i="13"/>
  <c r="AC19" i="13"/>
  <c r="AG7" i="13"/>
  <c r="AO17" i="13"/>
  <c r="AO8" i="13"/>
  <c r="AK14" i="4"/>
  <c r="AK10" i="4"/>
  <c r="AB20" i="4"/>
  <c r="AF7" i="4"/>
  <c r="AK9" i="4"/>
  <c r="AK15" i="4"/>
  <c r="AK11" i="4"/>
  <c r="AA20" i="4"/>
  <c r="AE7" i="4"/>
  <c r="Z20" i="4"/>
  <c r="AD7" i="4"/>
  <c r="AK18" i="4"/>
  <c r="AK19" i="4"/>
  <c r="AK12" i="4"/>
  <c r="AK13" i="4"/>
  <c r="AC20" i="4"/>
  <c r="AG7" i="4"/>
  <c r="AK8" i="4"/>
  <c r="AK16" i="4"/>
  <c r="AK17" i="4"/>
  <c r="C32" i="2" l="1"/>
  <c r="F32" i="2" s="1"/>
  <c r="G32" i="2" s="1"/>
  <c r="H32" i="2" s="1"/>
  <c r="C34" i="2"/>
  <c r="AP13" i="13"/>
  <c r="AQ13" i="13" s="1"/>
  <c r="C29" i="2"/>
  <c r="AP8" i="13"/>
  <c r="AQ8" i="13" s="1"/>
  <c r="C31" i="2"/>
  <c r="AP10" i="13"/>
  <c r="AQ10" i="13" s="1"/>
  <c r="AM7" i="13"/>
  <c r="AM19" i="13" s="1"/>
  <c r="AV7" i="13" s="1"/>
  <c r="AV8" i="13" s="1"/>
  <c r="AF19" i="13"/>
  <c r="AP9" i="13"/>
  <c r="AQ9" i="13" s="1"/>
  <c r="C30" i="2"/>
  <c r="AK7" i="13"/>
  <c r="AD19" i="13"/>
  <c r="AP12" i="13"/>
  <c r="AQ12" i="13" s="1"/>
  <c r="C33" i="2"/>
  <c r="AN7" i="13"/>
  <c r="AN19" i="13" s="1"/>
  <c r="AW7" i="13" s="1"/>
  <c r="AW8" i="13" s="1"/>
  <c r="AG19" i="13"/>
  <c r="AP14" i="13"/>
  <c r="AQ14" i="13" s="1"/>
  <c r="C35" i="2"/>
  <c r="AP15" i="13"/>
  <c r="AQ15" i="13" s="1"/>
  <c r="C36" i="2"/>
  <c r="AP17" i="13"/>
  <c r="AQ17" i="13" s="1"/>
  <c r="C38" i="2"/>
  <c r="AL7" i="13"/>
  <c r="AL19" i="13" s="1"/>
  <c r="AU7" i="13" s="1"/>
  <c r="AU8" i="13" s="1"/>
  <c r="AE19" i="13"/>
  <c r="AP18" i="13"/>
  <c r="AQ18" i="13" s="1"/>
  <c r="C39" i="2"/>
  <c r="C37" i="2"/>
  <c r="AP16" i="13"/>
  <c r="AQ16" i="13" s="1"/>
  <c r="AO10" i="4"/>
  <c r="AP10" i="4" s="1"/>
  <c r="AG20" i="4"/>
  <c r="AN7" i="4"/>
  <c r="AN20" i="4" s="1"/>
  <c r="AW7" i="4" s="1"/>
  <c r="AW8" i="4" s="1"/>
  <c r="AD20" i="4"/>
  <c r="AK7" i="4"/>
  <c r="AO9" i="4"/>
  <c r="AP9" i="4" s="1"/>
  <c r="AE20" i="4"/>
  <c r="AL7" i="4"/>
  <c r="AL20" i="4" s="1"/>
  <c r="AU7" i="4" s="1"/>
  <c r="AU8" i="4" s="1"/>
  <c r="AO19" i="4"/>
  <c r="AP19" i="4" s="1"/>
  <c r="AO15" i="4"/>
  <c r="AP15" i="4" s="1"/>
  <c r="AO13" i="4"/>
  <c r="AP13" i="4" s="1"/>
  <c r="AO17" i="4"/>
  <c r="AP17" i="4" s="1"/>
  <c r="AO12" i="4"/>
  <c r="AP12" i="4" s="1"/>
  <c r="AM7" i="4"/>
  <c r="AM20" i="4" s="1"/>
  <c r="AV7" i="4" s="1"/>
  <c r="AV8" i="4" s="1"/>
  <c r="AF20" i="4"/>
  <c r="AO14" i="4"/>
  <c r="AP14" i="4" s="1"/>
  <c r="AO11" i="4"/>
  <c r="AP11" i="4" s="1"/>
  <c r="AO8" i="4"/>
  <c r="AP8" i="4" s="1"/>
  <c r="AO18" i="4"/>
  <c r="AP18" i="4" s="1"/>
  <c r="AO16" i="4"/>
  <c r="AP16" i="4" s="1"/>
  <c r="D32" i="2" l="1"/>
  <c r="E32" i="2" s="1"/>
  <c r="F30" i="2"/>
  <c r="G30" i="2" s="1"/>
  <c r="H30" i="2" s="1"/>
  <c r="D30" i="2"/>
  <c r="E30" i="2" s="1"/>
  <c r="F35" i="2"/>
  <c r="G35" i="2" s="1"/>
  <c r="H35" i="2" s="1"/>
  <c r="D35" i="2"/>
  <c r="E35" i="2" s="1"/>
  <c r="D31" i="2"/>
  <c r="E31" i="2" s="1"/>
  <c r="F31" i="2"/>
  <c r="G31" i="2" s="1"/>
  <c r="H31" i="2" s="1"/>
  <c r="F38" i="2"/>
  <c r="G38" i="2" s="1"/>
  <c r="H38" i="2" s="1"/>
  <c r="D38" i="2"/>
  <c r="E38" i="2" s="1"/>
  <c r="F36" i="2"/>
  <c r="G36" i="2" s="1"/>
  <c r="H36" i="2" s="1"/>
  <c r="D36" i="2"/>
  <c r="E36" i="2" s="1"/>
  <c r="F39" i="2"/>
  <c r="G39" i="2" s="1"/>
  <c r="H39" i="2" s="1"/>
  <c r="D39" i="2"/>
  <c r="E39" i="2" s="1"/>
  <c r="F29" i="2"/>
  <c r="G29" i="2" s="1"/>
  <c r="H29" i="2" s="1"/>
  <c r="D29" i="2"/>
  <c r="E29" i="2" s="1"/>
  <c r="F37" i="2"/>
  <c r="G37" i="2" s="1"/>
  <c r="H37" i="2" s="1"/>
  <c r="D37" i="2"/>
  <c r="E37" i="2" s="1"/>
  <c r="F33" i="2"/>
  <c r="G33" i="2" s="1"/>
  <c r="H33" i="2" s="1"/>
  <c r="D33" i="2"/>
  <c r="E33" i="2" s="1"/>
  <c r="AO7" i="13"/>
  <c r="AK19" i="13"/>
  <c r="AT7" i="13" s="1"/>
  <c r="AT8" i="13" s="1"/>
  <c r="AT10" i="13" s="1"/>
  <c r="D34" i="2"/>
  <c r="E34" i="2" s="1"/>
  <c r="F34" i="2"/>
  <c r="G34" i="2" s="1"/>
  <c r="H34" i="2" s="1"/>
  <c r="C17" i="2"/>
  <c r="AQ13" i="4"/>
  <c r="C20" i="2"/>
  <c r="AQ16" i="4"/>
  <c r="AQ15" i="4"/>
  <c r="C19" i="2"/>
  <c r="AQ18" i="4"/>
  <c r="C22" i="2"/>
  <c r="AQ14" i="4"/>
  <c r="C18" i="2"/>
  <c r="AQ19" i="4"/>
  <c r="C23" i="2"/>
  <c r="C14" i="2"/>
  <c r="AQ10" i="4"/>
  <c r="AQ17" i="4"/>
  <c r="C21" i="2"/>
  <c r="AQ11" i="4"/>
  <c r="C15" i="2"/>
  <c r="AQ9" i="4"/>
  <c r="C13" i="2"/>
  <c r="C12" i="2"/>
  <c r="AQ8" i="4"/>
  <c r="AQ12" i="4"/>
  <c r="C16" i="2"/>
  <c r="AK20" i="4"/>
  <c r="AT7" i="4" s="1"/>
  <c r="AT8" i="4" s="1"/>
  <c r="AT10" i="4" s="1"/>
  <c r="AO7" i="4"/>
  <c r="AP7" i="4" s="1"/>
  <c r="D6" i="2" l="1"/>
  <c r="AT11" i="13"/>
  <c r="C28" i="2"/>
  <c r="AP7" i="13"/>
  <c r="AP19" i="13" s="1"/>
  <c r="AT12" i="13" s="1"/>
  <c r="AO19" i="13"/>
  <c r="AQ7" i="13"/>
  <c r="AQ19" i="13" s="1"/>
  <c r="AO20" i="4"/>
  <c r="C11" i="2"/>
  <c r="AP20" i="4"/>
  <c r="AT12" i="4" s="1"/>
  <c r="AT14" i="4" s="1"/>
  <c r="F13" i="2"/>
  <c r="D13" i="2"/>
  <c r="E13" i="2" s="1"/>
  <c r="F14" i="2"/>
  <c r="D14" i="2"/>
  <c r="E14" i="2" s="1"/>
  <c r="AT11" i="4"/>
  <c r="D5" i="2"/>
  <c r="F18" i="2"/>
  <c r="D18" i="2"/>
  <c r="E18" i="2" s="1"/>
  <c r="F12" i="2"/>
  <c r="D12" i="2"/>
  <c r="E12" i="2" s="1"/>
  <c r="F20" i="2"/>
  <c r="D20" i="2"/>
  <c r="E20" i="2" s="1"/>
  <c r="D22" i="2"/>
  <c r="E22" i="2" s="1"/>
  <c r="F22" i="2"/>
  <c r="F19" i="2"/>
  <c r="D19" i="2"/>
  <c r="E19" i="2" s="1"/>
  <c r="D21" i="2"/>
  <c r="E21" i="2" s="1"/>
  <c r="F21" i="2"/>
  <c r="F23" i="2"/>
  <c r="D23" i="2"/>
  <c r="E23" i="2" s="1"/>
  <c r="F16" i="2"/>
  <c r="D16" i="2"/>
  <c r="E16" i="2" s="1"/>
  <c r="D15" i="2"/>
  <c r="E15" i="2" s="1"/>
  <c r="F15" i="2"/>
  <c r="D17" i="2"/>
  <c r="E17" i="2" s="1"/>
  <c r="F17" i="2"/>
  <c r="D7" i="2" l="1"/>
  <c r="F28" i="2"/>
  <c r="D28" i="2"/>
  <c r="C40" i="2"/>
  <c r="F6" i="2"/>
  <c r="G6" i="2" s="1"/>
  <c r="AT13" i="13"/>
  <c r="AT15" i="13" s="1"/>
  <c r="AT14" i="13"/>
  <c r="E6" i="2"/>
  <c r="H6" i="2"/>
  <c r="I6" i="2" s="1"/>
  <c r="G16" i="2"/>
  <c r="H16" i="2" s="1"/>
  <c r="E5" i="2"/>
  <c r="E7" i="2" s="1"/>
  <c r="G17" i="2"/>
  <c r="H17" i="2" s="1"/>
  <c r="F5" i="2"/>
  <c r="AT13" i="4"/>
  <c r="AT15" i="4" s="1"/>
  <c r="G21" i="2"/>
  <c r="H21" i="2" s="1"/>
  <c r="G12" i="2"/>
  <c r="H12" i="2" s="1"/>
  <c r="C24" i="2"/>
  <c r="D11" i="2"/>
  <c r="D24" i="2" s="1"/>
  <c r="F11" i="2"/>
  <c r="G13" i="2"/>
  <c r="H13" i="2" s="1"/>
  <c r="AQ7" i="4"/>
  <c r="AQ20" i="4" s="1"/>
  <c r="G18" i="2"/>
  <c r="H18" i="2" s="1"/>
  <c r="G19" i="2"/>
  <c r="H19" i="2" s="1"/>
  <c r="G23" i="2"/>
  <c r="H23" i="2" s="1"/>
  <c r="G15" i="2"/>
  <c r="H15" i="2" s="1"/>
  <c r="G14" i="2"/>
  <c r="H14" i="2" s="1"/>
  <c r="G20" i="2"/>
  <c r="H20" i="2" s="1"/>
  <c r="G22" i="2"/>
  <c r="H22" i="2" s="1"/>
  <c r="E28" i="2" l="1"/>
  <c r="E40" i="2" s="1"/>
  <c r="D40" i="2"/>
  <c r="F7" i="2"/>
  <c r="G28" i="2"/>
  <c r="G40" i="2" s="1"/>
  <c r="F40" i="2"/>
  <c r="H28" i="2"/>
  <c r="H40" i="2" s="1"/>
  <c r="I13" i="2"/>
  <c r="I32" i="2"/>
  <c r="I28" i="2"/>
  <c r="I38" i="2"/>
  <c r="I29" i="2"/>
  <c r="I34" i="2"/>
  <c r="I36" i="2"/>
  <c r="I37" i="2"/>
  <c r="I39" i="2"/>
  <c r="I33" i="2"/>
  <c r="I30" i="2"/>
  <c r="I35" i="2"/>
  <c r="I31" i="2"/>
  <c r="E11" i="2"/>
  <c r="E24" i="2" s="1"/>
  <c r="I16" i="2"/>
  <c r="G5" i="2"/>
  <c r="G7" i="2" s="1"/>
  <c r="I23" i="2"/>
  <c r="I17" i="2"/>
  <c r="I15" i="2"/>
  <c r="I12" i="2"/>
  <c r="I14" i="2"/>
  <c r="H5" i="2"/>
  <c r="H7" i="2" s="1"/>
  <c r="I20" i="2"/>
  <c r="I18" i="2"/>
  <c r="I21" i="2"/>
  <c r="I22" i="2"/>
  <c r="F24" i="2"/>
  <c r="G11" i="2"/>
  <c r="G24" i="2" s="1"/>
  <c r="I11" i="2"/>
  <c r="I19" i="2"/>
  <c r="I40" i="2" l="1"/>
  <c r="H11" i="2"/>
  <c r="H24" i="2" s="1"/>
  <c r="I24" i="2"/>
  <c r="F11" i="1"/>
  <c r="G11" i="1" s="1"/>
  <c r="I5" i="2"/>
  <c r="I7" i="2" s="1"/>
</calcChain>
</file>

<file path=xl/sharedStrings.xml><?xml version="1.0" encoding="utf-8"?>
<sst xmlns="http://schemas.openxmlformats.org/spreadsheetml/2006/main" count="807" uniqueCount="311">
  <si>
    <t>ANEXO I – B1</t>
  </si>
  <si>
    <t>PLANILHA DETALHADA DE FORMAÇÃO DE PREÇO</t>
  </si>
  <si>
    <t>POLO I</t>
  </si>
  <si>
    <t>DESONERADA</t>
  </si>
  <si>
    <t>ITEM</t>
  </si>
  <si>
    <t>DESCRIÇÃO DO SERVIÇO</t>
  </si>
  <si>
    <t>UN.</t>
  </si>
  <si>
    <t>QTE.</t>
  </si>
  <si>
    <t>PREÇO UNITÁRIO (R$)</t>
  </si>
  <si>
    <t>PREÇO TOTAL 24 MESES (R$)</t>
  </si>
  <si>
    <t>Serviço de manutenção predial preventiva e corretiva por demanda, com fornecimento de materiais, peças e componentes, nos imóveis relacionados no Polo Regional I.</t>
  </si>
  <si>
    <t>Mês</t>
  </si>
  <si>
    <t>VALOR TOTAL DO ITEM 1: R$ 3.333.632,64 (três milhões, trezentos e trinta e três mil, seiscentos e trinta e dois reais e sessenta e quatro centavos)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</si>
  <si>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</si>
  <si>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</si>
  <si>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</si>
  <si>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</si>
  <si>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</si>
  <si>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</si>
  <si>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</si>
  <si>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</si>
  <si>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MARINGÁ</t>
  </si>
  <si>
    <t>CASCAVEL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</si>
  <si>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</si>
  <si>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</si>
  <si>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</si>
  <si>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</si>
  <si>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</si>
  <si>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</si>
  <si>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</si>
  <si>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</si>
  <si>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</si>
  <si>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(comp. própria)</t>
  </si>
  <si>
    <t>Auxiliar Técnico (ref. SINAPI/88255)</t>
  </si>
  <si>
    <t>Quantidade de horas/mês</t>
  </si>
  <si>
    <t>Custo mensal</t>
  </si>
  <si>
    <t>Custo anual</t>
  </si>
  <si>
    <t>* SINAPI Maio/2025 (Desonerado)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</si>
  <si>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</si>
  <si>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</si>
  <si>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</si>
  <si>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</si>
  <si>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</si>
  <si>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</si>
  <si>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</si>
  <si>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</si>
  <si>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</si>
  <si>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</si>
  <si>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</si>
  <si>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</si>
  <si>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</si>
  <si>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</si>
  <si>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</si>
  <si>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</si>
  <si>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</si>
  <si>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</si>
  <si>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</si>
  <si>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</si>
  <si>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</si>
  <si>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</si>
  <si>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</si>
  <si>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</si>
  <si>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</si>
  <si>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</si>
  <si>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</si>
  <si>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</si>
  <si>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</si>
  <si>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</si>
  <si>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</si>
  <si>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</si>
  <si>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</si>
  <si>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</si>
  <si>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</si>
  <si>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</si>
  <si>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Manutenção</t>
  </si>
  <si>
    <t>Custos / Rotinas</t>
  </si>
  <si>
    <t>coeficiente</t>
  </si>
  <si>
    <t>12 rotinas</t>
  </si>
  <si>
    <t>4 rotinas</t>
  </si>
  <si>
    <t>2 rotinas</t>
  </si>
  <si>
    <t>1 rotina</t>
  </si>
  <si>
    <t>APS ASTORGA</t>
  </si>
  <si>
    <t>Custo por tipo de rotina</t>
  </si>
  <si>
    <t>APS CAMPO MOURÃO</t>
  </si>
  <si>
    <t>Custo Anual por tipo de rotina</t>
  </si>
  <si>
    <t>APS CIANORTE</t>
  </si>
  <si>
    <t>APS COLORADO</t>
  </si>
  <si>
    <t>APS CRUZEIRO DO OESTE</t>
  </si>
  <si>
    <t>Custo Anual Preventiva</t>
  </si>
  <si>
    <t>APS LOANDA</t>
  </si>
  <si>
    <t>APS MANDAGUARI</t>
  </si>
  <si>
    <t>Custo Anual Corretiva</t>
  </si>
  <si>
    <t>APS NOVA ESPERANÇA</t>
  </si>
  <si>
    <t>APS PAIÇANDU</t>
  </si>
  <si>
    <t>Custo Anual Manutenção</t>
  </si>
  <si>
    <t>APS PARANAVAÍ</t>
  </si>
  <si>
    <t>APS UMUARAMA</t>
  </si>
  <si>
    <t>CEDOCPREV MARINGÁ</t>
  </si>
  <si>
    <t>GEX/APS MARINGÁ</t>
  </si>
  <si>
    <t>TOTAL</t>
  </si>
  <si>
    <t>Oficial de Manutenção Predial</t>
  </si>
  <si>
    <t>Ajudante (ref. SINAPI/88241)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</si>
  <si>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</si>
  <si>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</si>
  <si>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</si>
  <si>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</si>
  <si>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</si>
  <si>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</si>
  <si>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</si>
  <si>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</si>
  <si>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</si>
  <si>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</si>
  <si>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</si>
  <si>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</si>
  <si>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</si>
  <si>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</si>
  <si>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</si>
  <si>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Subestação?</t>
  </si>
  <si>
    <t>inclui eletrotécnico no deslocamento ?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</si>
  <si>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</si>
  <si>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</si>
  <si>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</si>
  <si>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</si>
  <si>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</si>
  <si>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</si>
  <si>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</si>
  <si>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</si>
  <si>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</si>
  <si>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</si>
  <si>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</si>
  <si>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</si>
  <si>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</si>
  <si>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Insumo*</t>
  </si>
  <si>
    <t>2454/AGETOP</t>
  </si>
  <si>
    <t>PERNOITE EM QUARTO SOLTEIRO C/ AR CONDICIONADO OU VENTILADOR</t>
  </si>
  <si>
    <t>UN</t>
  </si>
  <si>
    <t>* Tabela AGETOP CIVIL Fevereiro/2025.</t>
  </si>
  <si>
    <t>APS GOIOERÊ</t>
  </si>
  <si>
    <t>GEX CASCAVEL</t>
  </si>
  <si>
    <t>APS CASCAVEL</t>
  </si>
  <si>
    <t>APS TOLEDO</t>
  </si>
  <si>
    <t>APS MARECHAL CÂNDIDO RONDON</t>
  </si>
  <si>
    <t>APS ASSIS CHATEAUBRIAND</t>
  </si>
  <si>
    <t>APS PALOTINA</t>
  </si>
  <si>
    <t>APS GUAÍRA</t>
  </si>
  <si>
    <t>APS MEDIANEIRA</t>
  </si>
  <si>
    <t>APS SÃO MIGUEL DO IGUAÇU</t>
  </si>
  <si>
    <t>APS FOZ DO IGUAÇU</t>
  </si>
  <si>
    <t>APS QUEDAS DO IGUAÇU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</si>
  <si>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</si>
  <si>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</si>
  <si>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</si>
  <si>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</si>
  <si>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</si>
  <si>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</si>
  <si>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05/2025</t>
  </si>
  <si>
    <t>Estado</t>
  </si>
  <si>
    <t>PARANÁ</t>
  </si>
  <si>
    <t>Tipo</t>
  </si>
  <si>
    <t>Custos Horários Produtivo e Improdutivo dos Equipamentos</t>
  </si>
  <si>
    <t>codigo</t>
  </si>
  <si>
    <t>Valor Unitário</t>
  </si>
  <si>
    <t>Coeficiente</t>
  </si>
  <si>
    <t>C</t>
  </si>
  <si>
    <t>92140</t>
  </si>
  <si>
    <t>CAMINHONETE CABINE SIMPLES COM MOTOR 1.6 FLEX, CÂMBIO MANUAL, POTÊNCIA 101/104 CV, 2 PORTAS - DEPRECIAÇÃO. AF_11/2015</t>
  </si>
  <si>
    <t>Depreciação, Juros, Impostos e Seguros, Manutenção e Materiais na Operação dos Equipamentos</t>
  </si>
  <si>
    <t>H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</si>
  <si>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</si>
  <si>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</si>
  <si>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</si>
  <si>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</si>
  <si>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</si>
  <si>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</si>
  <si>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</si>
  <si>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</si>
  <si>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</si>
  <si>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</si>
  <si>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</si>
  <si>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Profissional</t>
  </si>
  <si>
    <t>ENGENHEIRO ELETRICISTA</t>
  </si>
  <si>
    <t>Referência</t>
  </si>
  <si>
    <t>99275 / insumo SBC</t>
  </si>
  <si>
    <t>Data base</t>
  </si>
  <si>
    <t>Custo do insumo (h)</t>
  </si>
  <si>
    <t>Encargos Sociais (*) - (ES)</t>
  </si>
  <si>
    <t>Apêndice 16: Encargos Sociais – Paraná</t>
  </si>
  <si>
    <t>Horista Desonerado</t>
  </si>
  <si>
    <t>Horista Não Desonerado</t>
  </si>
  <si>
    <t>Cálculo custo do funcionário</t>
  </si>
  <si>
    <r>
      <rPr>
        <sz val="1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</si>
  <si>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</si>
  <si>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7ª Ed. – Brasília: CAIXA, Junho/2025.</t>
  </si>
  <si>
    <t>COMPOSIÇÃO CUSTO ENGENHEIRO ELETRICISTA</t>
  </si>
  <si>
    <t>Composição ALTERADA SINAPI – 91677</t>
  </si>
  <si>
    <t>ENGENHEIRO ELETRICISTA COM ENCARGOS COMPLEMENTARES</t>
  </si>
  <si>
    <t>SEDI - SERVIÇOS DIVERSOS</t>
  </si>
  <si>
    <t>95404/SINAPI Alterada (*)</t>
  </si>
  <si>
    <t>CURSO DE CAPACITAÇÃO PARA ENGENHEIRO ELETRICISTA</t>
  </si>
  <si>
    <t>-</t>
  </si>
  <si>
    <t>I</t>
  </si>
  <si>
    <t>99275/SBC</t>
  </si>
  <si>
    <t>Mão de Obra</t>
  </si>
  <si>
    <t xml:space="preserve"> 00037372 </t>
  </si>
  <si>
    <t>EXAMES - HORISTA (COLETADO CAIXA - ENCARGOS COMPLEMENTARES)</t>
  </si>
  <si>
    <t>Material</t>
  </si>
  <si>
    <t xml:space="preserve"> 00037373 </t>
  </si>
  <si>
    <t>SEGURO - HORISTA (COLETADO CAIXA - ENCARGOS COMPLEMENTARES)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</si>
  <si>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</si>
  <si>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</si>
  <si>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</si>
  <si>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</si>
  <si>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>(*) 95404/SINAPI Alterada: Multiplicado o valor unitário do insumo calculado para engenheiro eletricista com encargos complementares pelo coeficiente 0,0341 (% treinamento rotatividade 14,98 horista, extraído da Tabela 3.36: % Quantitativo das Horas de Capacitação – Horista, para função Engenheiro Eletricista com Encargos Complementares).
Fonte: Livro SINAPI: Referências para Custos Horários e Encargos: Sistema Nacional de Pesquisa de Custos e Índices da Construção Civil / Caixa Econômica Federal. – 7ª Ed. – Brasília: CAIXA, Junho/2025.</t>
  </si>
  <si>
    <t>Categoria</t>
  </si>
  <si>
    <t>Profissional (*)</t>
  </si>
  <si>
    <t>Convenção coletiva</t>
  </si>
  <si>
    <r>
      <rPr>
        <sz val="1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 PR001850/2024</t>
    </r>
  </si>
  <si>
    <t>01 de junho</t>
  </si>
  <si>
    <t>Abrangência</t>
  </si>
  <si>
    <t>Trabalhadores das indústrias da construção civil de Curitiba/PR e região</t>
  </si>
  <si>
    <t>Salário base (SB)</t>
  </si>
  <si>
    <t>Encargos Sociais (**) - (ES)
Apêndice 16: Encargos Sociais – Paraná</t>
  </si>
  <si>
    <t>Mensalista Desonerado</t>
  </si>
  <si>
    <t>Mensalista Não Desonerado</t>
  </si>
  <si>
    <t>Cálculo custo do funcionário (***)</t>
  </si>
  <si>
    <r>
      <rPr>
        <sz val="1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</si>
  <si>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</si>
  <si>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Horista Desonerado (****) - (H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(1+</t>
    </r>
  </si>
  <si>
    <r>
      <rPr>
        <sz val="1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</si>
  <si>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</si>
  <si>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r>
      <rPr>
        <b/>
        <sz val="11"/>
        <color rgb="FF000000"/>
        <rFont val="Arial"/>
        <family val="2"/>
      </rPr>
      <t>a.3  - PROFISSIONAL -</t>
    </r>
    <r>
      <rPr>
        <sz val="11"/>
        <color rgb="FF000000"/>
        <rFont val="Arial"/>
        <family val="2"/>
        <charset val="1"/>
      </rPr>
      <t xml:space="preserve"> é todo trabalhador que, possuindo amplos e especializados conhecimentos de seu ofício, tem capacidade para realizá-lo com produtividade e desembaraço. Nesta categoria estão incluídas as diferentes funções inerentes ao ramo, cujas principais atividades são: pedreiro, carpinteiro, armador, encanador, eletricista, pintor, soldador, azulejista, almoxarife, apontador, guincheiro, calceteiro, cozinheiro(a), montador de guindastes, montador de estruturas metálicas, operador de equipamentos de terraplenagem, bate-estacas, perfuradeiras de solo para fundação e colocador de placa de gesso acartonado;</t>
    </r>
  </si>
  <si>
    <t>(**) Fonte: Livro SINAPI: Referências para Custos Horários e Encargos: Sistema Nacional de Pesquisa de Custos e Índices da Construção Civil / Caixa Econômica Federal. – 7ª Ed. – Brasília: CAIXA, Junho/2025.</t>
  </si>
  <si>
    <t>(***) Fonte: SINAPI: Metodologias e Conceitos: Sistema Nacional de Pesquisa de Custos e Índices da Construção Civil / Caixa Econômica Federal. – 10ª Ed. – Brasília: CAIXA, Junho/2025.</t>
  </si>
  <si>
    <t>(****) Fórmula para cálculo do custo do horista, com base no custo do mensalista (Livro Metodologias e Conceitos, página 80)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</si>
  <si>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</si>
  <si>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</si>
  <si>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</si>
  <si>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Livro SINAPI: Cálculos e Parâmetros</t>
  </si>
  <si>
    <t>CURSO DE CAPACITAÇÃO PARA ELETRICISTA (ENCARGOS COMPLEMENTARES) - HORISTA</t>
  </si>
  <si>
    <t>CCT</t>
  </si>
  <si>
    <t>OFICIAL DE MANUTENÇÃO PREDIAL (CBO 5413-25)</t>
  </si>
  <si>
    <t>ALIMENTACAO - HORISTA (COLETADO CAIXA - ENCARGOS COMPLEMENTARES)</t>
  </si>
  <si>
    <t>TRANSPORTE - HORISTA (COLETADO CAIXA - ENCARGOS COMPLEMENTARES)</t>
  </si>
  <si>
    <t>FERRAMENTAS - FAMILIA ELETRICISTA - HORISTA (ENCARGOS COMPLEMENTARES - COLETADO CAIXA)</t>
  </si>
  <si>
    <t>FERRAMENTAS - FAMILIA ENCANADOR - HORISTA (ENCARGOS COMPLEMENTARES - COLETADO CAIXA)</t>
  </si>
  <si>
    <t>EPI – FAMILIA ELETRICISTA - HORISTA (ENCARGOS COMPLEMENTARES - COLETADO CAIXA)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</si>
  <si>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</si>
  <si>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</si>
  <si>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</si>
  <si>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</si>
  <si>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</si>
  <si>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</si>
  <si>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</si>
  <si>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</si>
  <si>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</si>
  <si>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</si>
  <si>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Rua Nossa Senhora Aparecida, 181</t>
  </si>
  <si>
    <t>NÃO</t>
  </si>
  <si>
    <t>Av. Manoel Mendes de Camargo, 290, Centro</t>
  </si>
  <si>
    <t>SIM</t>
  </si>
  <si>
    <t>Av. Goiás, 17</t>
  </si>
  <si>
    <t>Rua Adinael Moreira, 11</t>
  </si>
  <si>
    <t>Av. Brasil, 3025, Jardim da Luz</t>
  </si>
  <si>
    <t>Rua Deputado Accioly Filho, 130, Centro</t>
  </si>
  <si>
    <t>Av. Marcos Dias, 315</t>
  </si>
  <si>
    <t>Av. Felipe Camarão, 945</t>
  </si>
  <si>
    <t>Rua Onésio Francisco de Faria, 755</t>
  </si>
  <si>
    <t>Rua Salgado Filho, 789</t>
  </si>
  <si>
    <t>Rua Inajá, 3610</t>
  </si>
  <si>
    <t>Av. Mauá, 1088</t>
  </si>
  <si>
    <t>Av. XV de Novembro, 491</t>
  </si>
  <si>
    <t>Av. Libertadores da América, 145</t>
  </si>
  <si>
    <t>Rua General Osório, 3423, Centro</t>
  </si>
  <si>
    <t>Rua São Paulo, 603, Centro</t>
  </si>
  <si>
    <t>Rua Rui Barbosa, 2989, Jd. Gisela</t>
  </si>
  <si>
    <t>Av. Rio Grande do Sul, 270</t>
  </si>
  <si>
    <t>Rua São Luís, 275</t>
  </si>
  <si>
    <t>Rua Vereador Antônio Pozzan, 1797, Centro</t>
  </si>
  <si>
    <t>Rua Paraguai, 1145 , Vila Velha</t>
  </si>
  <si>
    <t>Rua Riachuelo, 897</t>
  </si>
  <si>
    <t>Rua Nereu Ramos, 1313, Centro</t>
  </si>
  <si>
    <t>Av. Paraná, 1661</t>
  </si>
  <si>
    <t>Rua Romeiras, 528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</si>
  <si>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</si>
  <si>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</si>
  <si>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</si>
  <si>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</si>
  <si>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</si>
  <si>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</si>
  <si>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</si>
  <si>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</si>
  <si>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</si>
  <si>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</si>
  <si>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</si>
  <si>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</si>
  <si>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</si>
  <si>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</si>
  <si>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</si>
  <si>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</si>
  <si>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</si>
  <si>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</si>
  <si>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</si>
  <si>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</si>
  <si>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</si>
  <si>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</si>
  <si>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PIS</t>
  </si>
  <si>
    <t>COFINS</t>
  </si>
  <si>
    <t>CPRB</t>
  </si>
  <si>
    <t>BDI CALCULADO</t>
  </si>
  <si>
    <t>BDI ADOTADO</t>
  </si>
  <si>
    <t>ESTIMATIVA DE COMPOSIÇÃO DA TAXA DE BDI PARA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</si>
</sst>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 R$ &quot;* #,##0.00\ ;&quot;-R$ &quot;* #,##0.00\ ;&quot; R$ &quot;* \-#\ ;@\ "/>
    <numFmt numFmtId="165" formatCode="[$R$-416]\ #,##0.00;[Red]\-[$R$-416]\ #,##0.00"/>
    <numFmt numFmtId="166" formatCode="0.0000%"/>
    <numFmt numFmtId="167" formatCode="#,##0.00\ ;[Red]\(#,##0.00\)"/>
    <numFmt numFmtId="168" formatCode="#,##0.0"/>
    <numFmt numFmtId="169" formatCode="mm/yy"/>
    <numFmt numFmtId="170" formatCode="&quot;R$ &quot;#,##0.00"/>
    <numFmt numFmtId="171" formatCode="d/m/yyyy"/>
    <numFmt numFmtId="172" formatCode="&quot;R$ &quot;#,##0.00;[Red]&quot;-R$ &quot;#,##0.00"/>
    <numFmt numFmtId="173" formatCode="&quot;R$&quot;\ #,##0.00"/>
    <numFmt numFmtId="174" formatCode="#,##0;[Red]\(#,##0\)"/>
  </numFmts>
  <fonts count="31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;Arial"/>
      <family val="2"/>
      <charset val="1"/>
    </font>
    <font>
      <sz val="11"/>
      <name val="Arial"/>
      <family val="2"/>
      <charset val="1"/>
    </font>
    <font>
      <sz val="10"/>
      <name val="Times New Roman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12"/>
      <name val="Arial"/>
      <family val="2"/>
      <charset val="1"/>
    </font>
    <font>
      <sz val="1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EEEEEE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164" fontId="24" fillId="0" borderId="0" applyBorder="0" applyProtection="0"/>
    <xf numFmtId="9" fontId="2" fillId="0" borderId="0" applyBorder="0" applyProtection="0"/>
    <xf numFmtId="164" fontId="24" fillId="0" borderId="0" applyBorder="0" applyProtection="0"/>
    <xf numFmtId="0" fontId="1" fillId="0" borderId="0"/>
    <xf numFmtId="0" fontId="24" fillId="0" borderId="0"/>
    <xf numFmtId="0" fontId="2" fillId="0" borderId="0"/>
    <xf numFmtId="9" fontId="1" fillId="0" borderId="0" applyBorder="0" applyProtection="0"/>
    <xf numFmtId="0" fontId="3" fillId="2" borderId="0"/>
    <xf numFmtId="0" fontId="3" fillId="2" borderId="0"/>
  </cellStyleXfs>
  <cellXfs count="253">
    <xf numFmtId="0" fontId="0" fillId="0" borderId="0" xfId="0"/>
    <xf numFmtId="2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6" fontId="9" fillId="5" borderId="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167" fontId="7" fillId="0" borderId="1" xfId="0" applyNumberFormat="1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7" fontId="7" fillId="0" borderId="0" xfId="0" applyNumberFormat="1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vertical="center"/>
    </xf>
    <xf numFmtId="2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2" fontId="8" fillId="4" borderId="1" xfId="0" applyNumberFormat="1" applyFont="1" applyFill="1" applyBorder="1" applyAlignment="1">
      <alignment vertical="center"/>
    </xf>
    <xf numFmtId="0" fontId="7" fillId="0" borderId="1" xfId="5" applyFont="1" applyBorder="1" applyAlignment="1">
      <alignment horizontal="left" vertical="center" wrapText="1"/>
    </xf>
    <xf numFmtId="0" fontId="8" fillId="4" borderId="5" xfId="0" applyFont="1" applyFill="1" applyBorder="1" applyAlignment="1">
      <alignment vertical="center" wrapText="1"/>
    </xf>
    <xf numFmtId="167" fontId="8" fillId="4" borderId="1" xfId="0" applyNumberFormat="1" applyFont="1" applyFill="1" applyBorder="1" applyAlignment="1">
      <alignment horizontal="right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2" fontId="7" fillId="0" borderId="0" xfId="0" applyNumberFormat="1" applyFont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4" fontId="8" fillId="0" borderId="1" xfId="5" applyNumberFormat="1" applyFont="1" applyBorder="1" applyAlignment="1">
      <alignment horizontal="center" vertical="center"/>
    </xf>
    <xf numFmtId="164" fontId="8" fillId="0" borderId="1" xfId="3" applyFont="1" applyBorder="1" applyAlignment="1" applyProtection="1">
      <alignment horizontal="center" vertical="center"/>
    </xf>
    <xf numFmtId="4" fontId="8" fillId="0" borderId="2" xfId="5" applyNumberFormat="1" applyFont="1" applyBorder="1" applyAlignment="1">
      <alignment horizontal="center" vertical="center"/>
    </xf>
    <xf numFmtId="168" fontId="8" fillId="4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164" fontId="8" fillId="4" borderId="1" xfId="1" applyFont="1" applyFill="1" applyBorder="1" applyAlignment="1" applyProtection="1">
      <alignment horizontal="center" vertical="center"/>
    </xf>
    <xf numFmtId="1" fontId="8" fillId="4" borderId="1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14" fillId="7" borderId="0" xfId="8" applyFont="1" applyFill="1" applyAlignment="1">
      <alignment horizontal="left" vertical="top" wrapText="1"/>
    </xf>
    <xf numFmtId="165" fontId="15" fillId="7" borderId="0" xfId="8" applyNumberFormat="1" applyFont="1" applyFill="1" applyAlignment="1">
      <alignment horizontal="left" vertical="top" wrapText="1"/>
    </xf>
    <xf numFmtId="0" fontId="13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left" vertical="center" wrapText="1"/>
    </xf>
    <xf numFmtId="2" fontId="17" fillId="7" borderId="1" xfId="8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6" applyAlignment="1">
      <alignment vertical="center"/>
    </xf>
    <xf numFmtId="0" fontId="9" fillId="8" borderId="1" xfId="6" applyFont="1" applyFill="1" applyBorder="1" applyAlignment="1">
      <alignment horizontal="center" vertical="center" wrapText="1"/>
    </xf>
    <xf numFmtId="0" fontId="2" fillId="0" borderId="1" xfId="6" applyBorder="1" applyAlignment="1">
      <alignment vertical="center"/>
    </xf>
    <xf numFmtId="171" fontId="2" fillId="7" borderId="1" xfId="6" applyNumberFormat="1" applyFill="1" applyBorder="1" applyAlignment="1">
      <alignment horizontal="center" vertical="center" wrapText="1"/>
    </xf>
    <xf numFmtId="165" fontId="2" fillId="7" borderId="1" xfId="6" applyNumberFormat="1" applyFill="1" applyBorder="1" applyAlignment="1">
      <alignment horizontal="center" vertical="center" wrapText="1"/>
    </xf>
    <xf numFmtId="0" fontId="2" fillId="3" borderId="1" xfId="6" applyFill="1" applyBorder="1" applyAlignment="1">
      <alignment vertical="center"/>
    </xf>
    <xf numFmtId="165" fontId="2" fillId="3" borderId="1" xfId="6" applyNumberFormat="1" applyFill="1" applyBorder="1" applyAlignment="1">
      <alignment horizontal="center" vertical="center" wrapText="1"/>
    </xf>
    <xf numFmtId="0" fontId="9" fillId="0" borderId="1" xfId="6" applyFont="1" applyBorder="1" applyAlignment="1">
      <alignment vertical="center" wrapText="1"/>
    </xf>
    <xf numFmtId="0" fontId="2" fillId="0" borderId="1" xfId="6" applyBorder="1" applyAlignment="1">
      <alignment vertical="center" wrapText="1"/>
    </xf>
    <xf numFmtId="10" fontId="2" fillId="0" borderId="1" xfId="6" applyNumberFormat="1" applyBorder="1" applyAlignment="1">
      <alignment vertical="center"/>
    </xf>
    <xf numFmtId="0" fontId="9" fillId="0" borderId="1" xfId="6" applyFont="1" applyBorder="1" applyAlignment="1">
      <alignment vertical="center"/>
    </xf>
    <xf numFmtId="165" fontId="2" fillId="0" borderId="1" xfId="6" applyNumberFormat="1" applyBorder="1" applyAlignment="1">
      <alignment vertical="center"/>
    </xf>
    <xf numFmtId="165" fontId="9" fillId="8" borderId="1" xfId="6" applyNumberFormat="1" applyFont="1" applyFill="1" applyBorder="1" applyAlignment="1">
      <alignment vertical="center"/>
    </xf>
    <xf numFmtId="0" fontId="7" fillId="0" borderId="0" xfId="0" applyFont="1" applyAlignment="1">
      <alignment horizontal="left" wrapText="1"/>
    </xf>
    <xf numFmtId="170" fontId="17" fillId="7" borderId="1" xfId="8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165" fontId="0" fillId="3" borderId="1" xfId="0" applyNumberForma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0" fontId="0" fillId="0" borderId="1" xfId="0" applyNumberFormat="1" applyBorder="1"/>
    <xf numFmtId="0" fontId="9" fillId="0" borderId="1" xfId="0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9" fillId="9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wrapText="1"/>
    </xf>
    <xf numFmtId="0" fontId="20" fillId="0" borderId="0" xfId="0" applyFont="1"/>
    <xf numFmtId="0" fontId="15" fillId="7" borderId="1" xfId="8" applyFont="1" applyFill="1" applyBorder="1" applyAlignment="1">
      <alignment horizontal="center" vertical="center" wrapText="1"/>
    </xf>
    <xf numFmtId="2" fontId="15" fillId="7" borderId="1" xfId="8" applyNumberFormat="1" applyFont="1" applyFill="1" applyBorder="1" applyAlignment="1">
      <alignment horizontal="center" vertical="center" wrapText="1"/>
    </xf>
    <xf numFmtId="170" fontId="15" fillId="7" borderId="1" xfId="8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8" applyFont="1" applyFill="1" applyBorder="1" applyAlignment="1">
      <alignment vertical="center" wrapText="1"/>
    </xf>
    <xf numFmtId="10" fontId="2" fillId="0" borderId="1" xfId="2" applyNumberForma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9" fillId="0" borderId="6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0" fontId="8" fillId="4" borderId="7" xfId="0" applyNumberFormat="1" applyFont="1" applyFill="1" applyBorder="1" applyAlignment="1">
      <alignment horizontal="center" vertical="top" wrapText="1"/>
    </xf>
    <xf numFmtId="10" fontId="8" fillId="4" borderId="4" xfId="0" applyNumberFormat="1" applyFont="1" applyFill="1" applyBorder="1" applyAlignment="1">
      <alignment horizontal="center" vertical="top" wrapText="1"/>
    </xf>
    <xf numFmtId="10" fontId="8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0" fontId="8" fillId="4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7" fontId="25" fillId="0" borderId="1" xfId="0" applyNumberFormat="1" applyFont="1" applyBorder="1" applyAlignment="1">
      <alignment horizontal="left" vertical="center" wrapText="1"/>
    </xf>
    <xf numFmtId="0" fontId="25" fillId="0" borderId="1" xfId="5" applyFont="1" applyBorder="1" applyAlignment="1">
      <alignment horizontal="left" vertical="center" wrapText="1"/>
    </xf>
    <xf numFmtId="3" fontId="7" fillId="0" borderId="1" xfId="5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73" fontId="17" fillId="7" borderId="1" xfId="8" applyNumberFormat="1" applyFont="1" applyFill="1" applyBorder="1" applyAlignment="1">
      <alignment horizontal="center" vertical="center" wrapText="1"/>
    </xf>
    <xf numFmtId="173" fontId="15" fillId="7" borderId="1" xfId="8" applyNumberFormat="1" applyFont="1" applyFill="1" applyBorder="1" applyAlignment="1">
      <alignment horizontal="center" vertical="center" wrapText="1"/>
    </xf>
    <xf numFmtId="173" fontId="17" fillId="0" borderId="1" xfId="8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72" fontId="2" fillId="7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2" fontId="8" fillId="4" borderId="1" xfId="1" applyNumberFormat="1" applyFont="1" applyFill="1" applyBorder="1" applyAlignment="1" applyProtection="1">
      <alignment horizontal="center" vertical="center"/>
    </xf>
    <xf numFmtId="0" fontId="2" fillId="10" borderId="1" xfId="8" applyFont="1" applyFill="1" applyBorder="1" applyAlignment="1">
      <alignment vertical="center" wrapText="1"/>
    </xf>
    <xf numFmtId="168" fontId="8" fillId="0" borderId="2" xfId="5" applyNumberFormat="1" applyFont="1" applyBorder="1" applyAlignment="1">
      <alignment horizontal="center" vertical="center"/>
    </xf>
    <xf numFmtId="164" fontId="8" fillId="0" borderId="2" xfId="3" applyFont="1" applyBorder="1" applyAlignment="1" applyProtection="1">
      <alignment horizontal="center" vertical="center"/>
    </xf>
    <xf numFmtId="174" fontId="7" fillId="0" borderId="1" xfId="0" applyNumberFormat="1" applyFont="1" applyBorder="1" applyAlignment="1">
      <alignment horizontal="center" vertical="center" wrapText="1"/>
    </xf>
    <xf numFmtId="4" fontId="8" fillId="0" borderId="5" xfId="5" applyNumberFormat="1" applyFont="1" applyBorder="1" applyAlignment="1">
      <alignment horizontal="center" vertical="center"/>
    </xf>
    <xf numFmtId="173" fontId="8" fillId="5" borderId="1" xfId="0" applyNumberFormat="1" applyFont="1" applyFill="1" applyBorder="1" applyAlignment="1">
      <alignment horizontal="center" vertical="center" wrapText="1"/>
    </xf>
    <xf numFmtId="14" fontId="2" fillId="7" borderId="1" xfId="6" applyNumberFormat="1" applyFill="1" applyBorder="1" applyAlignment="1">
      <alignment horizontal="center" vertical="center" wrapText="1"/>
    </xf>
    <xf numFmtId="0" fontId="27" fillId="0" borderId="1" xfId="8" applyFont="1" applyFill="1" applyBorder="1" applyAlignment="1">
      <alignment horizontal="center" vertical="center" wrapText="1"/>
    </xf>
    <xf numFmtId="173" fontId="27" fillId="0" borderId="1" xfId="8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9" fillId="4" borderId="2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65" fontId="7" fillId="0" borderId="1" xfId="5" applyNumberFormat="1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3" fontId="7" fillId="0" borderId="1" xfId="5" applyNumberFormat="1" applyFont="1" applyBorder="1" applyAlignment="1">
      <alignment horizontal="center" vertical="center"/>
    </xf>
    <xf numFmtId="164" fontId="8" fillId="0" borderId="1" xfId="3" applyFont="1" applyBorder="1" applyAlignment="1" applyProtection="1">
      <alignment horizontal="center" vertical="center"/>
    </xf>
    <xf numFmtId="0" fontId="13" fillId="3" borderId="1" xfId="8" applyFont="1" applyFill="1" applyBorder="1" applyAlignment="1">
      <alignment horizontal="center" vertical="center" wrapText="1"/>
    </xf>
    <xf numFmtId="0" fontId="13" fillId="3" borderId="2" xfId="8" applyFont="1" applyFill="1" applyBorder="1" applyAlignment="1">
      <alignment horizontal="center" vertical="center" wrapText="1"/>
    </xf>
    <xf numFmtId="0" fontId="14" fillId="7" borderId="1" xfId="8" applyFont="1" applyFill="1" applyBorder="1" applyAlignment="1">
      <alignment horizontal="left" vertical="center" wrapText="1"/>
    </xf>
    <xf numFmtId="0" fontId="15" fillId="7" borderId="1" xfId="8" applyFont="1" applyFill="1" applyBorder="1" applyAlignment="1">
      <alignment horizontal="left" vertical="center" wrapText="1"/>
    </xf>
    <xf numFmtId="49" fontId="15" fillId="7" borderId="1" xfId="8" applyNumberFormat="1" applyFont="1" applyFill="1" applyBorder="1" applyAlignment="1">
      <alignment horizontal="left" vertical="center" wrapText="1"/>
    </xf>
    <xf numFmtId="0" fontId="15" fillId="0" borderId="1" xfId="8" applyFont="1" applyFill="1" applyBorder="1" applyAlignment="1">
      <alignment horizontal="left" vertical="center" wrapText="1"/>
    </xf>
    <xf numFmtId="165" fontId="16" fillId="0" borderId="1" xfId="8" applyNumberFormat="1" applyFont="1" applyFill="1" applyBorder="1" applyAlignment="1">
      <alignment horizontal="left" vertical="center"/>
    </xf>
    <xf numFmtId="169" fontId="15" fillId="7" borderId="1" xfId="8" applyNumberFormat="1" applyFont="1" applyFill="1" applyBorder="1" applyAlignment="1">
      <alignment horizontal="left" vertical="center" wrapText="1"/>
    </xf>
    <xf numFmtId="170" fontId="16" fillId="0" borderId="1" xfId="8" applyNumberFormat="1" applyFont="1" applyFill="1" applyBorder="1" applyAlignment="1">
      <alignment horizontal="left" vertical="center" wrapText="1"/>
    </xf>
    <xf numFmtId="0" fontId="27" fillId="0" borderId="0" xfId="6" applyFont="1" applyAlignment="1">
      <alignment horizontal="left" vertical="center" wrapText="1"/>
    </xf>
    <xf numFmtId="0" fontId="2" fillId="0" borderId="0" xfId="6" applyAlignment="1">
      <alignment horizontal="left" vertical="center" wrapText="1"/>
    </xf>
    <xf numFmtId="0" fontId="14" fillId="7" borderId="1" xfId="8" applyFont="1" applyFill="1" applyBorder="1" applyAlignment="1">
      <alignment horizontal="left" vertical="top" wrapText="1"/>
    </xf>
    <xf numFmtId="0" fontId="15" fillId="7" borderId="1" xfId="8" applyFont="1" applyFill="1" applyBorder="1" applyAlignment="1">
      <alignment horizontal="left" vertical="top" wrapText="1"/>
    </xf>
    <xf numFmtId="49" fontId="15" fillId="7" borderId="1" xfId="8" applyNumberFormat="1" applyFont="1" applyFill="1" applyBorder="1" applyAlignment="1">
      <alignment horizontal="left" vertical="top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165" fontId="16" fillId="7" borderId="1" xfId="8" applyNumberFormat="1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49" fontId="30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</cellXfs>
  <cellStyles count="10">
    <cellStyle name="Moeda" xfId="1" builtinId="4"/>
    <cellStyle name="Moeda 2" xfId="3" xr:uid="{00000000-0005-0000-0000-000006000000}"/>
    <cellStyle name="Normal" xfId="0" builtinId="0"/>
    <cellStyle name="Normal 2" xfId="4" xr:uid="{00000000-0005-0000-0000-000007000000}"/>
    <cellStyle name="Normal 3" xfId="5" xr:uid="{00000000-0005-0000-0000-000008000000}"/>
    <cellStyle name="Normal 4" xfId="6" xr:uid="{00000000-0005-0000-0000-000009000000}"/>
    <cellStyle name="Porcentagem" xfId="2" builtinId="5"/>
    <cellStyle name="Porcentagem 2" xfId="7" xr:uid="{00000000-0005-0000-0000-00000A000000}"/>
    <cellStyle name="TableStyleLight1" xfId="8" xr:uid="{00000000-0005-0000-0000-00000B000000}"/>
    <cellStyle name="TableStyleLight1 2" xfId="9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4116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5740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87840</xdr:colOff>
      <xdr:row>25</xdr:row>
      <xdr:rowOff>120600</xdr:rowOff>
    </xdr:from>
    <xdr:to>
      <xdr:col>2</xdr:col>
      <xdr:colOff>2299680</xdr:colOff>
      <xdr:row>29</xdr:row>
      <xdr:rowOff>87841</xdr:rowOff>
    </xdr:to>
    <xdr:pic>
      <xdr:nvPicPr>
        <xdr:cNvPr id="3" name="Figura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17768" t="51115" r="20992" b="38316"/>
        <a:stretch/>
      </xdr:blipFill>
      <xdr:spPr>
        <a:xfrm>
          <a:off x="495000" y="6730920"/>
          <a:ext cx="6453360" cy="691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B1:IT65541"/>
  <sheetViews>
    <sheetView showGridLines="0" tabSelected="1" zoomScaleNormal="100" workbookViewId="0">
      <selection activeCell="M5" sqref="M5"/>
    </sheetView>
  </sheetViews>
  <sheetFormatPr defaultColWidth="10.5" defaultRowHeight="14.25"/>
  <cols>
    <col min="1" max="1" width="5.625" customWidth="1"/>
    <col min="2" max="2" width="5.5" style="3" customWidth="1"/>
    <col min="3" max="3" width="42.125" style="3" customWidth="1"/>
    <col min="4" max="4" width="6.125" style="3" customWidth="1"/>
    <col min="5" max="5" width="5.625" style="3" customWidth="1"/>
    <col min="6" max="6" width="15.25" style="3" customWidth="1"/>
    <col min="7" max="7" width="20" style="3" customWidth="1"/>
    <col min="8" max="254" width="10.625" style="3" customWidth="1"/>
  </cols>
  <sheetData>
    <row r="1" spans="2:7" ht="15" customHeight="1"/>
    <row r="2" spans="2:7" ht="103.5" customHeight="1">
      <c r="B2" s="187"/>
      <c r="C2" s="187"/>
      <c r="D2" s="187"/>
      <c r="E2" s="187"/>
      <c r="F2" s="187"/>
      <c r="G2" s="187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88" t="s">
        <v>0</v>
      </c>
      <c r="C4" s="188"/>
      <c r="D4" s="188"/>
      <c r="E4" s="188"/>
      <c r="F4" s="188"/>
      <c r="G4" s="188"/>
    </row>
    <row r="5" spans="2:7" ht="18" customHeight="1">
      <c r="B5" s="4"/>
      <c r="C5" s="4"/>
      <c r="D5" s="4"/>
      <c r="E5" s="4"/>
      <c r="F5" s="4"/>
      <c r="G5" s="4"/>
    </row>
    <row r="6" spans="2:7" ht="19.5" customHeight="1">
      <c r="B6" s="189" t="s">
        <v>1</v>
      </c>
      <c r="C6" s="189"/>
      <c r="D6" s="189"/>
      <c r="E6" s="189"/>
      <c r="F6" s="189"/>
      <c r="G6" s="189"/>
    </row>
    <row r="7" spans="2:7" ht="19.5" customHeight="1">
      <c r="B7" s="190" t="s">
        <v>2</v>
      </c>
      <c r="C7" s="190"/>
      <c r="D7" s="190"/>
      <c r="E7" s="190"/>
      <c r="F7" s="190"/>
      <c r="G7" s="190"/>
    </row>
    <row r="8" spans="2:7" ht="19.5" customHeight="1">
      <c r="B8" s="191" t="s">
        <v>3</v>
      </c>
      <c r="C8" s="191"/>
      <c r="D8" s="191"/>
      <c r="E8" s="191"/>
      <c r="F8" s="191"/>
      <c r="G8" s="191"/>
    </row>
    <row r="9" spans="2:7" ht="15.75" customHeight="1">
      <c r="B9" s="4"/>
      <c r="C9" s="4"/>
      <c r="D9" s="4"/>
      <c r="E9" s="4"/>
      <c r="F9" s="4"/>
      <c r="G9" s="4"/>
    </row>
    <row r="10" spans="2:7" ht="42" customHeight="1">
      <c r="B10" s="5" t="s">
        <v>4</v>
      </c>
      <c r="C10" s="5" t="s">
        <v>5</v>
      </c>
      <c r="D10" s="5" t="s">
        <v>6</v>
      </c>
      <c r="E10" s="5" t="s">
        <v>7</v>
      </c>
      <c r="F10" s="5" t="s">
        <v>8</v>
      </c>
      <c r="G10" s="5" t="s">
        <v>9</v>
      </c>
    </row>
    <row r="11" spans="2:7" ht="81" customHeight="1">
      <c r="B11" s="6">
        <v>1</v>
      </c>
      <c r="C11" s="7" t="s">
        <v>10</v>
      </c>
      <c r="D11" s="8" t="s">
        <v>11</v>
      </c>
      <c r="E11" s="8">
        <v>24</v>
      </c>
      <c r="F11" s="9">
        <f>ROUND(Resumo!H7,2)</f>
        <v>138901.35999999999</v>
      </c>
      <c r="G11" s="10">
        <f>F11*E11</f>
        <v>3333632.6399999997</v>
      </c>
    </row>
    <row r="12" spans="2:7" ht="42" customHeight="1">
      <c r="B12" s="186" t="s">
        <v>12</v>
      </c>
      <c r="C12" s="186"/>
      <c r="D12" s="186"/>
      <c r="E12" s="186"/>
      <c r="F12" s="186"/>
      <c r="G12" s="186"/>
    </row>
    <row r="65541" ht="12.75" customHeight="1"/>
  </sheetData>
  <mergeCells count="6">
    <mergeCell ref="B12:G12"/>
    <mergeCell ref="B2:G2"/>
    <mergeCell ref="B4:G4"/>
    <mergeCell ref="B6:G6"/>
    <mergeCell ref="B7:G7"/>
    <mergeCell ref="B8:G8"/>
  </mergeCells>
  <printOptions horizont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I21"/>
  <sheetViews>
    <sheetView zoomScaleNormal="100" workbookViewId="0">
      <selection activeCell="B21" sqref="B21:I21"/>
    </sheetView>
  </sheetViews>
  <sheetFormatPr defaultColWidth="8.5" defaultRowHeight="14.25"/>
  <cols>
    <col min="2" max="2" width="4.25" customWidth="1"/>
    <col min="3" max="3" width="16.25" customWidth="1"/>
    <col min="4" max="4" width="59.75" customWidth="1"/>
    <col min="5" max="5" width="11.25" customWidth="1"/>
    <col min="7" max="7" width="11.75" customWidth="1"/>
    <col min="8" max="8" width="11" customWidth="1"/>
    <col min="9" max="9" width="12.625" customWidth="1"/>
  </cols>
  <sheetData>
    <row r="1" spans="1:9" ht="14.25" customHeight="1">
      <c r="A1" s="122"/>
      <c r="B1" s="122"/>
      <c r="C1" s="122"/>
      <c r="D1" s="122"/>
      <c r="E1" s="122"/>
      <c r="F1" s="122"/>
      <c r="G1" s="122"/>
      <c r="H1" s="122"/>
      <c r="I1" s="122"/>
    </row>
    <row r="2" spans="1:9" ht="15" customHeight="1">
      <c r="B2" s="221" t="s">
        <v>193</v>
      </c>
      <c r="C2" s="221"/>
      <c r="D2" s="221"/>
      <c r="E2" s="221"/>
      <c r="F2" s="221"/>
      <c r="G2" s="221"/>
      <c r="H2" s="221"/>
      <c r="I2" s="221"/>
    </row>
    <row r="4" spans="1:9" ht="15" customHeight="1">
      <c r="B4" s="222" t="s">
        <v>194</v>
      </c>
      <c r="C4" s="222"/>
      <c r="D4" s="222"/>
      <c r="E4" s="222"/>
      <c r="F4" s="222"/>
      <c r="G4" s="222"/>
      <c r="H4" s="222"/>
      <c r="I4" s="222"/>
    </row>
    <row r="5" spans="1:9" ht="14.25" customHeight="1">
      <c r="B5" s="232" t="s">
        <v>151</v>
      </c>
      <c r="C5" s="232"/>
      <c r="D5" s="233">
        <v>91677</v>
      </c>
      <c r="E5" s="233"/>
      <c r="F5" s="233"/>
      <c r="G5" s="233"/>
      <c r="H5" s="233"/>
      <c r="I5" s="233"/>
    </row>
    <row r="6" spans="1:9" ht="14.25" customHeight="1">
      <c r="B6" s="232" t="s">
        <v>121</v>
      </c>
      <c r="C6" s="232"/>
      <c r="D6" s="233" t="s">
        <v>195</v>
      </c>
      <c r="E6" s="233"/>
      <c r="F6" s="233"/>
      <c r="G6" s="233"/>
      <c r="H6" s="233"/>
      <c r="I6" s="233"/>
    </row>
    <row r="7" spans="1:9" ht="14.25" customHeight="1">
      <c r="B7" s="232" t="s">
        <v>154</v>
      </c>
      <c r="C7" s="232"/>
      <c r="D7" s="234" t="s">
        <v>155</v>
      </c>
      <c r="E7" s="234"/>
      <c r="F7" s="234"/>
      <c r="G7" s="234"/>
      <c r="H7" s="234"/>
      <c r="I7" s="234"/>
    </row>
    <row r="8" spans="1:9" ht="14.25" customHeight="1">
      <c r="B8" s="232" t="s">
        <v>156</v>
      </c>
      <c r="C8" s="232"/>
      <c r="D8" s="233" t="s">
        <v>157</v>
      </c>
      <c r="E8" s="233"/>
      <c r="F8" s="233"/>
      <c r="G8" s="233"/>
      <c r="H8" s="233"/>
      <c r="I8" s="233"/>
    </row>
    <row r="9" spans="1:9" ht="14.25" customHeight="1">
      <c r="B9" s="232" t="s">
        <v>158</v>
      </c>
      <c r="C9" s="232"/>
      <c r="D9" s="233" t="s">
        <v>196</v>
      </c>
      <c r="E9" s="233"/>
      <c r="F9" s="233"/>
      <c r="G9" s="233"/>
      <c r="H9" s="233"/>
      <c r="I9" s="233"/>
    </row>
    <row r="10" spans="1:9" ht="14.25" customHeight="1">
      <c r="B10" s="232" t="s">
        <v>122</v>
      </c>
      <c r="C10" s="232"/>
      <c r="D10" s="233" t="s">
        <v>167</v>
      </c>
      <c r="E10" s="233"/>
      <c r="F10" s="233"/>
      <c r="G10" s="233"/>
      <c r="H10" s="233"/>
      <c r="I10" s="233"/>
    </row>
    <row r="11" spans="1:9" ht="14.25" customHeight="1">
      <c r="B11" s="223" t="s">
        <v>123</v>
      </c>
      <c r="C11" s="223"/>
      <c r="D11" s="237">
        <f>SUM(I15:I20)</f>
        <v>126.73901785449999</v>
      </c>
      <c r="E11" s="237"/>
      <c r="F11" s="237"/>
      <c r="G11" s="237"/>
      <c r="H11" s="237"/>
      <c r="I11" s="237"/>
    </row>
    <row r="12" spans="1:9">
      <c r="B12" s="102"/>
      <c r="C12" s="102"/>
      <c r="D12" s="103"/>
      <c r="E12" s="103"/>
      <c r="F12" s="103"/>
      <c r="G12" s="103"/>
      <c r="H12" s="103"/>
      <c r="I12" s="103"/>
    </row>
    <row r="13" spans="1:9">
      <c r="B13" s="102"/>
      <c r="C13" s="102"/>
      <c r="D13" s="103"/>
      <c r="E13" s="103"/>
      <c r="F13" s="103"/>
      <c r="G13" s="103"/>
      <c r="H13" s="103"/>
      <c r="I13" s="103"/>
    </row>
    <row r="14" spans="1:9" ht="30">
      <c r="B14" s="104"/>
      <c r="C14" s="104" t="s">
        <v>160</v>
      </c>
      <c r="D14" s="104" t="s">
        <v>121</v>
      </c>
      <c r="E14" s="104" t="s">
        <v>158</v>
      </c>
      <c r="F14" s="104" t="s">
        <v>122</v>
      </c>
      <c r="G14" s="104" t="s">
        <v>161</v>
      </c>
      <c r="H14" s="104" t="s">
        <v>162</v>
      </c>
      <c r="I14" s="104" t="s">
        <v>123</v>
      </c>
    </row>
    <row r="15" spans="1:9" ht="25.5">
      <c r="B15" s="183" t="s">
        <v>163</v>
      </c>
      <c r="C15" s="183" t="s">
        <v>197</v>
      </c>
      <c r="D15" s="183" t="s">
        <v>198</v>
      </c>
      <c r="E15" s="183" t="s">
        <v>199</v>
      </c>
      <c r="F15" s="183" t="s">
        <v>167</v>
      </c>
      <c r="G15" s="184">
        <f>$G$16*0.0341</f>
        <v>4.1037728544999998</v>
      </c>
      <c r="H15" s="107">
        <v>1</v>
      </c>
      <c r="I15" s="123">
        <f t="shared" ref="I15:I20" si="0">G15*H15</f>
        <v>4.1037728544999998</v>
      </c>
    </row>
    <row r="16" spans="1:9">
      <c r="B16" s="105" t="s">
        <v>200</v>
      </c>
      <c r="C16" s="105" t="s">
        <v>201</v>
      </c>
      <c r="D16" s="105" t="s">
        <v>180</v>
      </c>
      <c r="E16" s="105" t="s">
        <v>202</v>
      </c>
      <c r="F16" s="105" t="s">
        <v>167</v>
      </c>
      <c r="G16" s="169">
        <f>'Custo Eng. Eletricista'!C13</f>
        <v>120.34524499999999</v>
      </c>
      <c r="H16" s="107">
        <v>1</v>
      </c>
      <c r="I16" s="123">
        <f t="shared" si="0"/>
        <v>120.34524499999999</v>
      </c>
    </row>
    <row r="17" spans="2:9" ht="25.5">
      <c r="B17" s="105" t="s">
        <v>200</v>
      </c>
      <c r="C17" s="105" t="s">
        <v>203</v>
      </c>
      <c r="D17" s="105" t="s">
        <v>204</v>
      </c>
      <c r="E17" s="105" t="s">
        <v>205</v>
      </c>
      <c r="F17" s="105" t="s">
        <v>167</v>
      </c>
      <c r="G17" s="169">
        <v>1.43</v>
      </c>
      <c r="H17" s="107">
        <v>1</v>
      </c>
      <c r="I17" s="123">
        <f t="shared" si="0"/>
        <v>1.43</v>
      </c>
    </row>
    <row r="18" spans="2:9" ht="25.5">
      <c r="B18" s="105" t="s">
        <v>200</v>
      </c>
      <c r="C18" s="105" t="s">
        <v>206</v>
      </c>
      <c r="D18" s="105" t="s">
        <v>207</v>
      </c>
      <c r="E18" s="105" t="s">
        <v>205</v>
      </c>
      <c r="F18" s="105" t="s">
        <v>167</v>
      </c>
      <c r="G18" s="169">
        <v>0.08</v>
      </c>
      <c r="H18" s="107">
        <v>1</v>
      </c>
      <c r="I18" s="123">
        <f t="shared" si="0"/>
        <v>0.08</v>
      </c>
    </row>
    <row r="19" spans="2:9" ht="25.5">
      <c r="B19" s="105" t="s">
        <v>200</v>
      </c>
      <c r="C19" s="105" t="s">
        <v>208</v>
      </c>
      <c r="D19" s="105" t="s">
        <v>209</v>
      </c>
      <c r="E19" s="105" t="s">
        <v>205</v>
      </c>
      <c r="F19" s="105" t="s">
        <v>167</v>
      </c>
      <c r="G19" s="169">
        <v>0.01</v>
      </c>
      <c r="H19" s="107">
        <v>1</v>
      </c>
      <c r="I19" s="123">
        <f t="shared" si="0"/>
        <v>0.01</v>
      </c>
    </row>
    <row r="20" spans="2:9" ht="25.5">
      <c r="B20" s="105" t="s">
        <v>200</v>
      </c>
      <c r="C20" s="105" t="s">
        <v>210</v>
      </c>
      <c r="D20" s="105" t="s">
        <v>211</v>
      </c>
      <c r="E20" s="105" t="s">
        <v>205</v>
      </c>
      <c r="F20" s="105" t="s">
        <v>167</v>
      </c>
      <c r="G20" s="169">
        <v>0.77</v>
      </c>
      <c r="H20" s="107">
        <v>1</v>
      </c>
      <c r="I20" s="123">
        <f t="shared" si="0"/>
        <v>0.77</v>
      </c>
    </row>
    <row r="21" spans="2:9" ht="62.25" customHeight="1">
      <c r="B21" s="235" t="s">
        <v>212</v>
      </c>
      <c r="C21" s="236"/>
      <c r="D21" s="236"/>
      <c r="E21" s="236"/>
      <c r="F21" s="236"/>
      <c r="G21" s="236"/>
      <c r="H21" s="236"/>
      <c r="I21" s="236"/>
    </row>
  </sheetData>
  <mergeCells count="17">
    <mergeCell ref="B21:I21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79998168889431442"/>
  </sheetPr>
  <dimension ref="A1:AMJ25"/>
  <sheetViews>
    <sheetView zoomScale="110" zoomScaleNormal="110" workbookViewId="0">
      <selection activeCell="E12" sqref="E12"/>
    </sheetView>
  </sheetViews>
  <sheetFormatPr defaultColWidth="10.5" defaultRowHeight="14.25"/>
  <cols>
    <col min="1" max="1" width="5.25" style="124" customWidth="1"/>
    <col min="2" max="2" width="54.75" style="124" customWidth="1"/>
    <col min="3" max="3" width="38.75" style="124" customWidth="1"/>
    <col min="4" max="4" width="31.125" style="124" customWidth="1"/>
    <col min="5" max="1024" width="10.5" style="124"/>
  </cols>
  <sheetData>
    <row r="1" spans="2:3" ht="15" customHeight="1"/>
    <row r="2" spans="2:3">
      <c r="C2" s="125" t="s">
        <v>157</v>
      </c>
    </row>
    <row r="3" spans="2:3">
      <c r="B3" s="126" t="s">
        <v>213</v>
      </c>
      <c r="C3" s="125" t="s">
        <v>214</v>
      </c>
    </row>
    <row r="4" spans="2:3" ht="15">
      <c r="B4" s="126" t="s">
        <v>215</v>
      </c>
      <c r="C4" s="172" t="s">
        <v>216</v>
      </c>
    </row>
    <row r="5" spans="2:3">
      <c r="B5" s="126" t="s">
        <v>183</v>
      </c>
      <c r="C5" s="185" t="s">
        <v>217</v>
      </c>
    </row>
    <row r="6" spans="2:3" ht="25.5">
      <c r="B6" s="126" t="s">
        <v>218</v>
      </c>
      <c r="C6" s="172" t="s">
        <v>219</v>
      </c>
    </row>
    <row r="7" spans="2:3">
      <c r="B7" s="126" t="s">
        <v>220</v>
      </c>
      <c r="C7" s="173">
        <v>2752.2</v>
      </c>
    </row>
    <row r="8" spans="2:3">
      <c r="B8" s="127"/>
      <c r="C8" s="128"/>
    </row>
    <row r="9" spans="2:3" ht="32.25" customHeight="1">
      <c r="B9" s="129" t="s">
        <v>221</v>
      </c>
      <c r="C9" s="126"/>
    </row>
    <row r="10" spans="2:3">
      <c r="B10" s="126" t="s">
        <v>187</v>
      </c>
      <c r="C10" s="130">
        <v>0.9345</v>
      </c>
    </row>
    <row r="11" spans="2:3">
      <c r="B11" s="126" t="s">
        <v>222</v>
      </c>
      <c r="C11" s="130">
        <v>0.54200000000000004</v>
      </c>
    </row>
    <row r="12" spans="2:3">
      <c r="B12" s="126" t="s">
        <v>188</v>
      </c>
      <c r="C12" s="130">
        <v>1.1637</v>
      </c>
    </row>
    <row r="13" spans="2:3">
      <c r="B13" s="126" t="s">
        <v>223</v>
      </c>
      <c r="C13" s="130">
        <v>0.72499999999999998</v>
      </c>
    </row>
    <row r="14" spans="2:3" ht="13.5" customHeight="1">
      <c r="B14" s="127"/>
      <c r="C14" s="127"/>
    </row>
    <row r="15" spans="2:3">
      <c r="B15" s="131" t="s">
        <v>224</v>
      </c>
      <c r="C15" s="132"/>
    </row>
    <row r="16" spans="2:3" ht="15.75">
      <c r="B16" s="133" t="s">
        <v>225</v>
      </c>
      <c r="C16" s="132">
        <f>C7*(1+C11)</f>
        <v>4243.8923999999997</v>
      </c>
    </row>
    <row r="17" spans="2:3" ht="15.75">
      <c r="B17" s="133" t="s">
        <v>226</v>
      </c>
      <c r="C17" s="132">
        <f>C7*(1+C13)</f>
        <v>4747.5450000000001</v>
      </c>
    </row>
    <row r="18" spans="2:3" ht="15.75">
      <c r="B18" s="133" t="s">
        <v>227</v>
      </c>
      <c r="C18" s="134">
        <f>C16*(1+C10)/(220*(1+C11))</f>
        <v>24.200594999999996</v>
      </c>
    </row>
    <row r="19" spans="2:3" ht="15.75">
      <c r="B19" s="133" t="s">
        <v>228</v>
      </c>
      <c r="C19" s="134">
        <f>(C17*(1+C12)/(220*(1+C13)))</f>
        <v>27.067886999999999</v>
      </c>
    </row>
    <row r="21" spans="2:3">
      <c r="B21" s="174" t="s">
        <v>229</v>
      </c>
    </row>
    <row r="22" spans="2:3" ht="98.25" customHeight="1">
      <c r="B22" s="239" t="s">
        <v>230</v>
      </c>
      <c r="C22" s="240"/>
    </row>
    <row r="23" spans="2:3" ht="42" customHeight="1">
      <c r="B23" s="238" t="s">
        <v>231</v>
      </c>
      <c r="C23" s="238"/>
    </row>
    <row r="24" spans="2:3" ht="41.25" customHeight="1">
      <c r="B24" s="238" t="s">
        <v>232</v>
      </c>
      <c r="C24" s="238"/>
    </row>
    <row r="25" spans="2:3" ht="33.75" customHeight="1">
      <c r="B25" s="238" t="s">
        <v>233</v>
      </c>
      <c r="C25" s="238"/>
    </row>
  </sheetData>
  <mergeCells count="4">
    <mergeCell ref="B23:C23"/>
    <mergeCell ref="B24:C24"/>
    <mergeCell ref="B25:C25"/>
    <mergeCell ref="B22:C2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79998168889431442"/>
  </sheetPr>
  <dimension ref="B1:K22"/>
  <sheetViews>
    <sheetView zoomScaleNormal="100" workbookViewId="0">
      <selection activeCell="M11" sqref="M11"/>
    </sheetView>
  </sheetViews>
  <sheetFormatPr defaultColWidth="8.625" defaultRowHeight="14.25"/>
  <cols>
    <col min="1" max="1" width="5.25" customWidth="1"/>
    <col min="2" max="2" width="7.75" customWidth="1"/>
    <col min="3" max="3" width="12.75" customWidth="1"/>
    <col min="4" max="4" width="55.875" customWidth="1"/>
    <col min="5" max="5" width="11.625" customWidth="1"/>
    <col min="6" max="6" width="10" customWidth="1"/>
    <col min="7" max="7" width="13.75" customWidth="1"/>
    <col min="8" max="8" width="12" customWidth="1"/>
    <col min="9" max="9" width="14.125" customWidth="1"/>
  </cols>
  <sheetData>
    <row r="1" spans="2:11" ht="15" customHeight="1"/>
    <row r="2" spans="2:11" ht="24.95" customHeight="1">
      <c r="B2" s="221" t="s">
        <v>234</v>
      </c>
      <c r="C2" s="221"/>
      <c r="D2" s="221"/>
      <c r="E2" s="221"/>
      <c r="F2" s="221"/>
      <c r="G2" s="221"/>
      <c r="H2" s="221"/>
      <c r="I2" s="221"/>
    </row>
    <row r="3" spans="2:11" ht="19.5" customHeight="1"/>
    <row r="4" spans="2:11" ht="16.5" customHeight="1">
      <c r="B4" s="222" t="s">
        <v>235</v>
      </c>
      <c r="C4" s="222"/>
      <c r="D4" s="222"/>
      <c r="E4" s="222"/>
      <c r="F4" s="222"/>
      <c r="G4" s="222"/>
      <c r="H4" s="222"/>
      <c r="I4" s="222"/>
    </row>
    <row r="5" spans="2:11" ht="16.5" customHeight="1">
      <c r="B5" s="223" t="s">
        <v>151</v>
      </c>
      <c r="C5" s="223"/>
      <c r="D5" s="224">
        <v>88264</v>
      </c>
      <c r="E5" s="224"/>
      <c r="F5" s="224"/>
      <c r="G5" s="224"/>
      <c r="H5" s="224"/>
      <c r="I5" s="224"/>
    </row>
    <row r="6" spans="2:11" ht="16.5" customHeight="1">
      <c r="B6" s="223" t="s">
        <v>121</v>
      </c>
      <c r="C6" s="223"/>
      <c r="D6" s="224" t="s">
        <v>236</v>
      </c>
      <c r="E6" s="224"/>
      <c r="F6" s="224"/>
      <c r="G6" s="224"/>
      <c r="H6" s="224"/>
      <c r="I6" s="224"/>
    </row>
    <row r="7" spans="2:11" ht="16.5" customHeight="1">
      <c r="B7" s="223" t="s">
        <v>154</v>
      </c>
      <c r="C7" s="223"/>
      <c r="D7" s="225" t="s">
        <v>155</v>
      </c>
      <c r="E7" s="225"/>
      <c r="F7" s="225"/>
      <c r="G7" s="225"/>
      <c r="H7" s="225"/>
      <c r="I7" s="225"/>
    </row>
    <row r="8" spans="2:11" ht="16.5" customHeight="1">
      <c r="B8" s="223" t="s">
        <v>156</v>
      </c>
      <c r="C8" s="223"/>
      <c r="D8" s="224" t="s">
        <v>157</v>
      </c>
      <c r="E8" s="224"/>
      <c r="F8" s="224"/>
      <c r="G8" s="224"/>
      <c r="H8" s="224"/>
      <c r="I8" s="224"/>
    </row>
    <row r="9" spans="2:11" ht="16.5" customHeight="1">
      <c r="B9" s="223" t="s">
        <v>158</v>
      </c>
      <c r="C9" s="223"/>
      <c r="D9" s="224" t="s">
        <v>237</v>
      </c>
      <c r="E9" s="224"/>
      <c r="F9" s="224"/>
      <c r="G9" s="224"/>
      <c r="H9" s="224"/>
      <c r="I9" s="224"/>
    </row>
    <row r="10" spans="2:11" ht="16.5" customHeight="1">
      <c r="B10" s="223" t="s">
        <v>122</v>
      </c>
      <c r="C10" s="223"/>
      <c r="D10" s="224" t="s">
        <v>167</v>
      </c>
      <c r="E10" s="224"/>
      <c r="F10" s="224"/>
      <c r="G10" s="224"/>
      <c r="H10" s="224"/>
      <c r="I10" s="224"/>
    </row>
    <row r="11" spans="2:11" ht="16.5" customHeight="1">
      <c r="B11" s="223" t="s">
        <v>123</v>
      </c>
      <c r="C11" s="223"/>
      <c r="D11" s="227">
        <f>SUM(I14:I22)</f>
        <v>34.720594999999996</v>
      </c>
      <c r="E11" s="227"/>
      <c r="F11" s="227"/>
      <c r="G11" s="227"/>
      <c r="H11" s="227"/>
      <c r="I11" s="227"/>
    </row>
    <row r="12" spans="2:11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11" ht="29.25" customHeight="1">
      <c r="B13" s="104"/>
      <c r="C13" s="104" t="s">
        <v>160</v>
      </c>
      <c r="D13" s="104" t="s">
        <v>121</v>
      </c>
      <c r="E13" s="104" t="s">
        <v>158</v>
      </c>
      <c r="F13" s="104" t="s">
        <v>122</v>
      </c>
      <c r="G13" s="104" t="s">
        <v>161</v>
      </c>
      <c r="H13" s="104" t="s">
        <v>162</v>
      </c>
      <c r="I13" s="104" t="s">
        <v>123</v>
      </c>
    </row>
    <row r="14" spans="2:11" ht="38.25">
      <c r="B14" s="105" t="s">
        <v>163</v>
      </c>
      <c r="C14" s="105">
        <v>95332</v>
      </c>
      <c r="D14" s="105" t="s">
        <v>238</v>
      </c>
      <c r="E14" s="105" t="s">
        <v>237</v>
      </c>
      <c r="F14" s="105" t="s">
        <v>167</v>
      </c>
      <c r="G14" s="169">
        <v>0.9</v>
      </c>
      <c r="H14" s="107">
        <v>1</v>
      </c>
      <c r="I14" s="123">
        <f t="shared" ref="I14:I22" si="0">G14*H14</f>
        <v>0.9</v>
      </c>
      <c r="J14" s="136"/>
      <c r="K14" s="136"/>
    </row>
    <row r="15" spans="2:11">
      <c r="B15" s="105" t="s">
        <v>200</v>
      </c>
      <c r="C15" s="105" t="s">
        <v>239</v>
      </c>
      <c r="D15" s="105" t="s">
        <v>240</v>
      </c>
      <c r="E15" s="105" t="s">
        <v>202</v>
      </c>
      <c r="F15" s="105" t="s">
        <v>167</v>
      </c>
      <c r="G15" s="169">
        <f>'Custo Oficial de Manutenção'!C18</f>
        <v>24.200594999999996</v>
      </c>
      <c r="H15" s="107">
        <v>1</v>
      </c>
      <c r="I15" s="123">
        <f t="shared" si="0"/>
        <v>24.200594999999996</v>
      </c>
      <c r="J15" s="136"/>
      <c r="K15" s="136"/>
    </row>
    <row r="16" spans="2:11" ht="25.5">
      <c r="B16" s="105" t="s">
        <v>200</v>
      </c>
      <c r="C16" s="105">
        <v>37370</v>
      </c>
      <c r="D16" s="105" t="s">
        <v>241</v>
      </c>
      <c r="E16" s="105" t="s">
        <v>205</v>
      </c>
      <c r="F16" s="105" t="s">
        <v>167</v>
      </c>
      <c r="G16" s="169">
        <v>4.76</v>
      </c>
      <c r="H16" s="107">
        <v>1</v>
      </c>
      <c r="I16" s="123">
        <f t="shared" si="0"/>
        <v>4.76</v>
      </c>
      <c r="J16" s="136"/>
      <c r="K16" s="136"/>
    </row>
    <row r="17" spans="2:11" ht="25.5">
      <c r="B17" s="105" t="s">
        <v>200</v>
      </c>
      <c r="C17" s="105">
        <v>37371</v>
      </c>
      <c r="D17" s="105" t="s">
        <v>242</v>
      </c>
      <c r="E17" s="105" t="s">
        <v>205</v>
      </c>
      <c r="F17" s="105" t="s">
        <v>167</v>
      </c>
      <c r="G17" s="169">
        <v>0.92</v>
      </c>
      <c r="H17" s="107">
        <v>1</v>
      </c>
      <c r="I17" s="123">
        <f t="shared" si="0"/>
        <v>0.92</v>
      </c>
      <c r="J17" s="136"/>
      <c r="K17" s="136"/>
    </row>
    <row r="18" spans="2:11" ht="25.5">
      <c r="B18" s="105" t="s">
        <v>200</v>
      </c>
      <c r="C18" s="105">
        <v>37372</v>
      </c>
      <c r="D18" s="105" t="s">
        <v>204</v>
      </c>
      <c r="E18" s="105" t="s">
        <v>205</v>
      </c>
      <c r="F18" s="105" t="s">
        <v>167</v>
      </c>
      <c r="G18" s="169">
        <v>1.43</v>
      </c>
      <c r="H18" s="107">
        <v>1</v>
      </c>
      <c r="I18" s="123">
        <f t="shared" si="0"/>
        <v>1.43</v>
      </c>
      <c r="J18" s="136"/>
      <c r="K18" s="136"/>
    </row>
    <row r="19" spans="2:11" ht="25.5">
      <c r="B19" s="105" t="s">
        <v>200</v>
      </c>
      <c r="C19" s="105">
        <v>37373</v>
      </c>
      <c r="D19" s="105" t="s">
        <v>207</v>
      </c>
      <c r="E19" s="105" t="s">
        <v>205</v>
      </c>
      <c r="F19" s="105" t="s">
        <v>167</v>
      </c>
      <c r="G19" s="169">
        <v>0.08</v>
      </c>
      <c r="H19" s="107">
        <v>1</v>
      </c>
      <c r="I19" s="123">
        <f t="shared" si="0"/>
        <v>0.08</v>
      </c>
      <c r="J19" s="136"/>
      <c r="K19" s="136"/>
    </row>
    <row r="20" spans="2:11" ht="25.5">
      <c r="B20" s="105" t="s">
        <v>200</v>
      </c>
      <c r="C20" s="105">
        <v>43460</v>
      </c>
      <c r="D20" s="105" t="s">
        <v>243</v>
      </c>
      <c r="E20" s="105" t="s">
        <v>205</v>
      </c>
      <c r="F20" s="105" t="s">
        <v>167</v>
      </c>
      <c r="G20" s="169">
        <v>0.86</v>
      </c>
      <c r="H20" s="107">
        <v>1</v>
      </c>
      <c r="I20" s="123">
        <f t="shared" si="0"/>
        <v>0.86</v>
      </c>
      <c r="J20" s="136"/>
      <c r="K20" s="136"/>
    </row>
    <row r="21" spans="2:11" s="137" customFormat="1" ht="25.5">
      <c r="B21" s="138" t="s">
        <v>200</v>
      </c>
      <c r="C21" s="138">
        <v>43461</v>
      </c>
      <c r="D21" s="138" t="s">
        <v>244</v>
      </c>
      <c r="E21" s="105" t="s">
        <v>205</v>
      </c>
      <c r="F21" s="138" t="s">
        <v>167</v>
      </c>
      <c r="G21" s="170">
        <v>0.31</v>
      </c>
      <c r="H21" s="139">
        <v>1</v>
      </c>
      <c r="I21" s="140">
        <f t="shared" si="0"/>
        <v>0.31</v>
      </c>
      <c r="J21" s="141"/>
      <c r="K21" s="141"/>
    </row>
    <row r="22" spans="2:11" ht="25.5">
      <c r="B22" s="105" t="s">
        <v>200</v>
      </c>
      <c r="C22" s="105">
        <v>43484</v>
      </c>
      <c r="D22" s="105" t="s">
        <v>245</v>
      </c>
      <c r="E22" s="105" t="s">
        <v>205</v>
      </c>
      <c r="F22" s="105" t="s">
        <v>167</v>
      </c>
      <c r="G22" s="169">
        <v>1.26</v>
      </c>
      <c r="H22" s="107">
        <v>1</v>
      </c>
      <c r="I22" s="123">
        <f t="shared" si="0"/>
        <v>1.26</v>
      </c>
      <c r="J22" s="136"/>
      <c r="K22" s="136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B1:IY29"/>
  <sheetViews>
    <sheetView showGridLines="0" zoomScaleNormal="100" workbookViewId="0">
      <selection activeCell="P22" sqref="P22"/>
    </sheetView>
  </sheetViews>
  <sheetFormatPr defaultColWidth="10.375" defaultRowHeight="14.25"/>
  <cols>
    <col min="1" max="1" width="5.625" customWidth="1"/>
    <col min="2" max="2" width="15.5" style="11" customWidth="1"/>
    <col min="3" max="3" width="16.25" style="12" customWidth="1"/>
    <col min="4" max="4" width="32" style="11" customWidth="1"/>
    <col min="5" max="5" width="36.875" style="11" customWidth="1"/>
    <col min="6" max="6" width="15.25" style="12" customWidth="1"/>
    <col min="7" max="7" width="9" style="11" customWidth="1"/>
    <col min="8" max="8" width="9.125" style="11" customWidth="1"/>
    <col min="9" max="9" width="12" style="11" customWidth="1"/>
    <col min="10" max="11" width="11.25" style="11" customWidth="1"/>
    <col min="12" max="12" width="10.375" style="11"/>
    <col min="13" max="13" width="10.5" style="11" customWidth="1"/>
    <col min="14" max="14" width="12.5" style="11" customWidth="1"/>
    <col min="15" max="259" width="10.5" style="11" customWidth="1"/>
  </cols>
  <sheetData>
    <row r="1" spans="2:14" ht="15" customHeight="1"/>
    <row r="2" spans="2:14" s="142" customFormat="1" ht="29.25" customHeight="1">
      <c r="B2" s="241" t="str">
        <f>"RELAÇÃO DE UNIDADES DO "&amp;'Valor da Contratação'!B7&amp;""</f>
        <v>RELAÇÃO DE UNIDADES DO POLO I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s="11" customFormat="1" ht="15" customHeight="1"/>
    <row r="4" spans="2:14" ht="66.75" customHeight="1">
      <c r="B4" s="2" t="s">
        <v>246</v>
      </c>
      <c r="C4" s="2" t="s">
        <v>13</v>
      </c>
      <c r="D4" s="2" t="s">
        <v>41</v>
      </c>
      <c r="E4" s="2" t="s">
        <v>247</v>
      </c>
      <c r="F4" s="2" t="s">
        <v>248</v>
      </c>
      <c r="G4" s="2" t="s">
        <v>249</v>
      </c>
      <c r="H4" s="2" t="s">
        <v>71</v>
      </c>
      <c r="I4" s="2" t="s">
        <v>250</v>
      </c>
      <c r="J4" s="2" t="s">
        <v>251</v>
      </c>
      <c r="K4" s="2" t="s">
        <v>252</v>
      </c>
      <c r="L4" s="2" t="s">
        <v>253</v>
      </c>
      <c r="M4" s="2" t="s">
        <v>254</v>
      </c>
      <c r="N4" s="2" t="s">
        <v>255</v>
      </c>
    </row>
    <row r="5" spans="2:14" ht="18" customHeight="1">
      <c r="B5" s="143" t="s">
        <v>21</v>
      </c>
      <c r="C5" s="143" t="s">
        <v>21</v>
      </c>
      <c r="D5" s="46" t="s">
        <v>81</v>
      </c>
      <c r="E5" s="144" t="s">
        <v>256</v>
      </c>
      <c r="F5" s="48">
        <f>117/60</f>
        <v>1.95</v>
      </c>
      <c r="G5" s="145">
        <v>0.03</v>
      </c>
      <c r="H5" s="145">
        <f>HLOOKUP(G5,BDI!$D$19:$J$30,12,)</f>
        <v>0.28489999999999999</v>
      </c>
      <c r="I5" s="66">
        <v>334.4</v>
      </c>
      <c r="J5" s="66">
        <v>296</v>
      </c>
      <c r="K5" s="66">
        <v>38.4</v>
      </c>
      <c r="L5" s="66">
        <v>0</v>
      </c>
      <c r="M5" s="66" t="s">
        <v>257</v>
      </c>
      <c r="N5" s="66" t="s">
        <v>257</v>
      </c>
    </row>
    <row r="6" spans="2:14" ht="18" customHeight="1">
      <c r="B6" s="143" t="s">
        <v>21</v>
      </c>
      <c r="C6" s="143" t="s">
        <v>21</v>
      </c>
      <c r="D6" s="46" t="s">
        <v>83</v>
      </c>
      <c r="E6" s="144" t="s">
        <v>258</v>
      </c>
      <c r="F6" s="48">
        <f>156/60</f>
        <v>2.6</v>
      </c>
      <c r="G6" s="145">
        <v>0.05</v>
      </c>
      <c r="H6" s="145">
        <f>HLOOKUP(G6,BDI!$D$19:$J$30,12,)</f>
        <v>0.31419999999999998</v>
      </c>
      <c r="I6" s="66">
        <v>2272.1799999999998</v>
      </c>
      <c r="J6" s="66">
        <v>1403.37</v>
      </c>
      <c r="K6" s="66">
        <v>651.61</v>
      </c>
      <c r="L6" s="66">
        <v>217.2</v>
      </c>
      <c r="M6" s="66" t="s">
        <v>259</v>
      </c>
      <c r="N6" s="66" t="s">
        <v>259</v>
      </c>
    </row>
    <row r="7" spans="2:14" ht="18" customHeight="1">
      <c r="B7" s="143" t="s">
        <v>21</v>
      </c>
      <c r="C7" s="143" t="s">
        <v>21</v>
      </c>
      <c r="D7" s="46" t="s">
        <v>85</v>
      </c>
      <c r="E7" s="176" t="s">
        <v>260</v>
      </c>
      <c r="F7" s="48">
        <f>76*2/60</f>
        <v>2.5333333333333332</v>
      </c>
      <c r="G7" s="145">
        <v>0.03</v>
      </c>
      <c r="H7" s="145">
        <f>HLOOKUP(G7,BDI!$D$19:$J$30,12,)</f>
        <v>0.28489999999999999</v>
      </c>
      <c r="I7" s="66">
        <v>948.9</v>
      </c>
      <c r="J7" s="66">
        <v>585</v>
      </c>
      <c r="K7" s="66">
        <v>363.9</v>
      </c>
      <c r="L7" s="66">
        <v>0</v>
      </c>
      <c r="M7" s="66" t="s">
        <v>257</v>
      </c>
      <c r="N7" s="66" t="s">
        <v>257</v>
      </c>
    </row>
    <row r="8" spans="2:14" ht="18" customHeight="1">
      <c r="B8" s="143" t="s">
        <v>21</v>
      </c>
      <c r="C8" s="143" t="s">
        <v>21</v>
      </c>
      <c r="D8" s="46" t="s">
        <v>86</v>
      </c>
      <c r="E8" s="176" t="s">
        <v>261</v>
      </c>
      <c r="F8" s="48">
        <f>82*2/60</f>
        <v>2.7333333333333334</v>
      </c>
      <c r="G8" s="145">
        <v>0.03</v>
      </c>
      <c r="H8" s="145">
        <f>HLOOKUP(G8,BDI!$D$19:$J$30,12,)</f>
        <v>0.28489999999999999</v>
      </c>
      <c r="I8" s="66">
        <v>334.4</v>
      </c>
      <c r="J8" s="66">
        <v>296</v>
      </c>
      <c r="K8" s="66">
        <v>38.4</v>
      </c>
      <c r="L8" s="66">
        <v>0</v>
      </c>
      <c r="M8" s="66" t="s">
        <v>257</v>
      </c>
      <c r="N8" s="66" t="s">
        <v>257</v>
      </c>
    </row>
    <row r="9" spans="2:14" ht="18" customHeight="1">
      <c r="B9" s="143" t="s">
        <v>21</v>
      </c>
      <c r="C9" s="143" t="s">
        <v>21</v>
      </c>
      <c r="D9" s="46" t="s">
        <v>87</v>
      </c>
      <c r="E9" s="144" t="s">
        <v>262</v>
      </c>
      <c r="F9" s="48">
        <f>114*2/60</f>
        <v>3.8</v>
      </c>
      <c r="G9" s="145">
        <v>0.04</v>
      </c>
      <c r="H9" s="145">
        <f>HLOOKUP(G9,BDI!$D$19:$J$30,12,)</f>
        <v>0.2994</v>
      </c>
      <c r="I9" s="66">
        <v>334.4</v>
      </c>
      <c r="J9" s="66">
        <v>296</v>
      </c>
      <c r="K9" s="66">
        <v>38.4</v>
      </c>
      <c r="L9" s="66">
        <v>0</v>
      </c>
      <c r="M9" s="66" t="s">
        <v>257</v>
      </c>
      <c r="N9" s="66" t="s">
        <v>257</v>
      </c>
    </row>
    <row r="10" spans="2:14" ht="18" customHeight="1">
      <c r="B10" s="143" t="s">
        <v>21</v>
      </c>
      <c r="C10" s="143" t="s">
        <v>21</v>
      </c>
      <c r="D10" s="46" t="s">
        <v>89</v>
      </c>
      <c r="E10" s="144" t="s">
        <v>263</v>
      </c>
      <c r="F10" s="48">
        <f>69*2/60</f>
        <v>2.2999999999999998</v>
      </c>
      <c r="G10" s="145">
        <v>0.05</v>
      </c>
      <c r="H10" s="145">
        <f>HLOOKUP(G10,BDI!$D$19:$J$30,12,)</f>
        <v>0.31419999999999998</v>
      </c>
      <c r="I10" s="66">
        <v>645.13</v>
      </c>
      <c r="J10" s="66">
        <v>452.2</v>
      </c>
      <c r="K10" s="66">
        <v>91.93</v>
      </c>
      <c r="L10" s="66">
        <v>101</v>
      </c>
      <c r="M10" s="66" t="s">
        <v>257</v>
      </c>
      <c r="N10" s="66" t="s">
        <v>259</v>
      </c>
    </row>
    <row r="11" spans="2:14" ht="18" customHeight="1">
      <c r="B11" s="143" t="s">
        <v>21</v>
      </c>
      <c r="C11" s="143" t="s">
        <v>21</v>
      </c>
      <c r="D11" s="46" t="s">
        <v>90</v>
      </c>
      <c r="E11" s="144" t="s">
        <v>264</v>
      </c>
      <c r="F11" s="48">
        <f>90/60</f>
        <v>1.5</v>
      </c>
      <c r="G11" s="145">
        <v>0.03</v>
      </c>
      <c r="H11" s="145">
        <f>HLOOKUP(G11,BDI!$D$19:$J$30,12,)</f>
        <v>0.28489999999999999</v>
      </c>
      <c r="I11" s="66">
        <v>334.4</v>
      </c>
      <c r="J11" s="66">
        <v>296</v>
      </c>
      <c r="K11" s="66">
        <v>38.4</v>
      </c>
      <c r="L11" s="66">
        <v>0</v>
      </c>
      <c r="M11" s="66" t="s">
        <v>257</v>
      </c>
      <c r="N11" s="66" t="s">
        <v>257</v>
      </c>
    </row>
    <row r="12" spans="2:14" ht="18" customHeight="1">
      <c r="B12" s="143" t="s">
        <v>21</v>
      </c>
      <c r="C12" s="143" t="s">
        <v>21</v>
      </c>
      <c r="D12" s="46" t="s">
        <v>92</v>
      </c>
      <c r="E12" s="144" t="s">
        <v>265</v>
      </c>
      <c r="F12" s="48">
        <f>92/60</f>
        <v>1.5333333333333334</v>
      </c>
      <c r="G12" s="145">
        <v>0.02</v>
      </c>
      <c r="H12" s="145">
        <f>HLOOKUP(G12,BDI!$D$19:$J$30,12,)</f>
        <v>0.2707</v>
      </c>
      <c r="I12" s="66">
        <v>334.4</v>
      </c>
      <c r="J12" s="66">
        <v>296</v>
      </c>
      <c r="K12" s="66">
        <v>38.4</v>
      </c>
      <c r="L12" s="66">
        <v>0</v>
      </c>
      <c r="M12" s="66" t="s">
        <v>257</v>
      </c>
      <c r="N12" s="66" t="s">
        <v>257</v>
      </c>
    </row>
    <row r="13" spans="2:14" ht="18" customHeight="1">
      <c r="B13" s="143" t="s">
        <v>21</v>
      </c>
      <c r="C13" s="143" t="s">
        <v>21</v>
      </c>
      <c r="D13" s="46" t="s">
        <v>93</v>
      </c>
      <c r="E13" s="144" t="s">
        <v>266</v>
      </c>
      <c r="F13" s="48">
        <f>42/60</f>
        <v>0.7</v>
      </c>
      <c r="G13" s="145">
        <v>0.03</v>
      </c>
      <c r="H13" s="145">
        <f>HLOOKUP(G13,BDI!$D$19:$J$30,12,)</f>
        <v>0.28489999999999999</v>
      </c>
      <c r="I13" s="66">
        <v>334.4</v>
      </c>
      <c r="J13" s="66">
        <v>296</v>
      </c>
      <c r="K13" s="66">
        <v>38.4</v>
      </c>
      <c r="L13" s="66">
        <v>0</v>
      </c>
      <c r="M13" s="66" t="s">
        <v>257</v>
      </c>
      <c r="N13" s="66" t="s">
        <v>257</v>
      </c>
    </row>
    <row r="14" spans="2:14" ht="18" customHeight="1">
      <c r="B14" s="143" t="s">
        <v>21</v>
      </c>
      <c r="C14" s="143" t="s">
        <v>21</v>
      </c>
      <c r="D14" s="46" t="s">
        <v>95</v>
      </c>
      <c r="E14" s="144" t="s">
        <v>267</v>
      </c>
      <c r="F14" s="48">
        <f>114/60</f>
        <v>1.9</v>
      </c>
      <c r="G14" s="145">
        <v>0.04</v>
      </c>
      <c r="H14" s="145">
        <f>HLOOKUP(G14,BDI!$D$19:$J$30,12,)</f>
        <v>0.2994</v>
      </c>
      <c r="I14" s="66">
        <v>2638.17</v>
      </c>
      <c r="J14" s="66">
        <v>1217.05</v>
      </c>
      <c r="K14" s="66">
        <v>346.5</v>
      </c>
      <c r="L14" s="66">
        <v>1074.6199999999999</v>
      </c>
      <c r="M14" s="66" t="s">
        <v>259</v>
      </c>
      <c r="N14" s="66" t="s">
        <v>259</v>
      </c>
    </row>
    <row r="15" spans="2:14" ht="18" customHeight="1">
      <c r="B15" s="143" t="s">
        <v>21</v>
      </c>
      <c r="C15" s="143" t="s">
        <v>21</v>
      </c>
      <c r="D15" s="46" t="s">
        <v>96</v>
      </c>
      <c r="E15" s="144" t="s">
        <v>268</v>
      </c>
      <c r="F15" s="48">
        <f>284/60</f>
        <v>4.7333333333333334</v>
      </c>
      <c r="G15" s="145">
        <v>0.02</v>
      </c>
      <c r="H15" s="145">
        <f>HLOOKUP(G15,BDI!$D$19:$J$30,12,)</f>
        <v>0.2707</v>
      </c>
      <c r="I15" s="66">
        <v>3345.5</v>
      </c>
      <c r="J15" s="66">
        <v>2007</v>
      </c>
      <c r="K15" s="66">
        <v>1003.5</v>
      </c>
      <c r="L15" s="66">
        <v>335</v>
      </c>
      <c r="M15" s="66" t="s">
        <v>259</v>
      </c>
      <c r="N15" s="66" t="s">
        <v>259</v>
      </c>
    </row>
    <row r="16" spans="2:14" ht="18" customHeight="1">
      <c r="B16" s="143" t="s">
        <v>21</v>
      </c>
      <c r="C16" s="143" t="s">
        <v>21</v>
      </c>
      <c r="D16" s="46" t="s">
        <v>97</v>
      </c>
      <c r="E16" s="144" t="s">
        <v>269</v>
      </c>
      <c r="F16" s="48">
        <f>20/60</f>
        <v>0.33333333333333331</v>
      </c>
      <c r="G16" s="145">
        <v>0.03</v>
      </c>
      <c r="H16" s="145">
        <f>HLOOKUP(G16,BDI!$D$19:$J$30,12,)</f>
        <v>0.28489999999999999</v>
      </c>
      <c r="I16" s="66">
        <v>1122</v>
      </c>
      <c r="J16" s="66">
        <v>882</v>
      </c>
      <c r="K16" s="66">
        <v>240</v>
      </c>
      <c r="L16" s="66">
        <v>0</v>
      </c>
      <c r="M16" s="66" t="s">
        <v>257</v>
      </c>
      <c r="N16" s="66" t="s">
        <v>257</v>
      </c>
    </row>
    <row r="17" spans="2:14" ht="18" customHeight="1">
      <c r="B17" s="143" t="s">
        <v>21</v>
      </c>
      <c r="C17" s="143" t="s">
        <v>21</v>
      </c>
      <c r="D17" s="46" t="s">
        <v>98</v>
      </c>
      <c r="E17" s="144" t="s">
        <v>270</v>
      </c>
      <c r="F17" s="48">
        <v>0</v>
      </c>
      <c r="G17" s="145">
        <v>0.03</v>
      </c>
      <c r="H17" s="145">
        <f>HLOOKUP(G17,BDI!$D$19:$J$30,12,)</f>
        <v>0.28489999999999999</v>
      </c>
      <c r="I17" s="66">
        <v>3140.36</v>
      </c>
      <c r="J17" s="66">
        <v>2714.7</v>
      </c>
      <c r="K17" s="66">
        <v>425.66</v>
      </c>
      <c r="L17" s="66">
        <v>0</v>
      </c>
      <c r="M17" s="66" t="s">
        <v>259</v>
      </c>
      <c r="N17" s="66" t="s">
        <v>259</v>
      </c>
    </row>
    <row r="18" spans="2:14" ht="18" customHeight="1">
      <c r="B18" s="143" t="s">
        <v>21</v>
      </c>
      <c r="C18" s="143" t="s">
        <v>22</v>
      </c>
      <c r="D18" s="46" t="s">
        <v>137</v>
      </c>
      <c r="E18" s="144" t="s">
        <v>271</v>
      </c>
      <c r="F18" s="48">
        <f>214/60</f>
        <v>3.5666666666666669</v>
      </c>
      <c r="G18" s="145">
        <v>0.02</v>
      </c>
      <c r="H18" s="145">
        <f>HLOOKUP(G18,BDI!$D$19:$J$30,12,)</f>
        <v>0.2707</v>
      </c>
      <c r="I18" s="66">
        <v>851.2</v>
      </c>
      <c r="J18" s="66">
        <v>425.6</v>
      </c>
      <c r="K18" s="66">
        <v>42.56</v>
      </c>
      <c r="L18" s="66">
        <v>383.04</v>
      </c>
      <c r="M18" s="66" t="s">
        <v>259</v>
      </c>
      <c r="N18" s="66" t="s">
        <v>259</v>
      </c>
    </row>
    <row r="19" spans="2:14" ht="18" customHeight="1">
      <c r="B19" s="143" t="s">
        <v>22</v>
      </c>
      <c r="C19" s="143" t="s">
        <v>22</v>
      </c>
      <c r="D19" s="46" t="s">
        <v>138</v>
      </c>
      <c r="E19" s="144" t="s">
        <v>272</v>
      </c>
      <c r="F19" s="48">
        <v>0</v>
      </c>
      <c r="G19" s="145">
        <v>0.03</v>
      </c>
      <c r="H19" s="145">
        <f>HLOOKUP(G19,BDI!$D$19:$J$30,12,)</f>
        <v>0.28489999999999999</v>
      </c>
      <c r="I19" s="66">
        <v>1362.95</v>
      </c>
      <c r="J19" s="66">
        <v>930.36</v>
      </c>
      <c r="K19" s="66">
        <v>268.62</v>
      </c>
      <c r="L19" s="66">
        <v>163.97</v>
      </c>
      <c r="M19" s="66" t="s">
        <v>259</v>
      </c>
      <c r="N19" s="66" t="s">
        <v>257</v>
      </c>
    </row>
    <row r="20" spans="2:14" ht="18" customHeight="1">
      <c r="B20" s="143" t="s">
        <v>22</v>
      </c>
      <c r="C20" s="143" t="s">
        <v>22</v>
      </c>
      <c r="D20" s="46" t="s">
        <v>139</v>
      </c>
      <c r="E20" s="144" t="s">
        <v>273</v>
      </c>
      <c r="F20" s="48">
        <f>4/60</f>
        <v>6.6666666666666666E-2</v>
      </c>
      <c r="G20" s="145">
        <v>0.03</v>
      </c>
      <c r="H20" s="145">
        <f>HLOOKUP(G20,BDI!$D$19:$J$30,12,)</f>
        <v>0.28489999999999999</v>
      </c>
      <c r="I20" s="66">
        <v>3298.13</v>
      </c>
      <c r="J20" s="66">
        <v>1621.17</v>
      </c>
      <c r="K20" s="66">
        <v>1676.96</v>
      </c>
      <c r="L20" s="66">
        <v>0</v>
      </c>
      <c r="M20" s="66" t="s">
        <v>259</v>
      </c>
      <c r="N20" s="66" t="s">
        <v>259</v>
      </c>
    </row>
    <row r="21" spans="2:14" ht="18" customHeight="1">
      <c r="B21" s="143" t="s">
        <v>22</v>
      </c>
      <c r="C21" s="143" t="s">
        <v>22</v>
      </c>
      <c r="D21" s="46" t="s">
        <v>140</v>
      </c>
      <c r="E21" s="144" t="s">
        <v>274</v>
      </c>
      <c r="F21" s="48">
        <f>84/60</f>
        <v>1.4</v>
      </c>
      <c r="G21" s="145">
        <v>0.03</v>
      </c>
      <c r="H21" s="145">
        <f>HLOOKUP(G21,BDI!$D$19:$J$30,12,)</f>
        <v>0.28489999999999999</v>
      </c>
      <c r="I21" s="66">
        <v>2005</v>
      </c>
      <c r="J21" s="66">
        <v>1554.31</v>
      </c>
      <c r="K21" s="66">
        <v>450.69</v>
      </c>
      <c r="L21" s="66">
        <v>0</v>
      </c>
      <c r="M21" s="66" t="s">
        <v>259</v>
      </c>
      <c r="N21" s="66" t="s">
        <v>259</v>
      </c>
    </row>
    <row r="22" spans="2:14" ht="18" customHeight="1">
      <c r="B22" s="143" t="s">
        <v>22</v>
      </c>
      <c r="C22" s="143" t="s">
        <v>22</v>
      </c>
      <c r="D22" s="46" t="s">
        <v>141</v>
      </c>
      <c r="E22" s="144" t="s">
        <v>275</v>
      </c>
      <c r="F22" s="48">
        <f>74*2/60</f>
        <v>2.4666666666666668</v>
      </c>
      <c r="G22" s="145">
        <v>0.02</v>
      </c>
      <c r="H22" s="145">
        <f>HLOOKUP(G22,BDI!$D$19:$J$30,12,)</f>
        <v>0.2707</v>
      </c>
      <c r="I22" s="66">
        <v>785.22</v>
      </c>
      <c r="J22" s="66">
        <v>551.75</v>
      </c>
      <c r="K22" s="66">
        <v>233.47</v>
      </c>
      <c r="L22" s="66">
        <v>0</v>
      </c>
      <c r="M22" s="66" t="s">
        <v>257</v>
      </c>
      <c r="N22" s="66" t="s">
        <v>257</v>
      </c>
    </row>
    <row r="23" spans="2:14" ht="18" customHeight="1">
      <c r="B23" s="143" t="s">
        <v>22</v>
      </c>
      <c r="C23" s="143" t="s">
        <v>22</v>
      </c>
      <c r="D23" s="46" t="s">
        <v>142</v>
      </c>
      <c r="E23" s="144" t="s">
        <v>276</v>
      </c>
      <c r="F23" s="48">
        <f>69*2/60</f>
        <v>2.2999999999999998</v>
      </c>
      <c r="G23" s="145">
        <v>0.03</v>
      </c>
      <c r="H23" s="145">
        <f>HLOOKUP(G23,BDI!$D$19:$J$30,12,)</f>
        <v>0.28489999999999999</v>
      </c>
      <c r="I23" s="66">
        <v>525</v>
      </c>
      <c r="J23" s="66">
        <v>423.47</v>
      </c>
      <c r="K23" s="66">
        <v>101.53</v>
      </c>
      <c r="L23" s="66">
        <v>0</v>
      </c>
      <c r="M23" s="66" t="s">
        <v>257</v>
      </c>
      <c r="N23" s="66" t="s">
        <v>257</v>
      </c>
    </row>
    <row r="24" spans="2:14" ht="18" customHeight="1">
      <c r="B24" s="143" t="s">
        <v>22</v>
      </c>
      <c r="C24" s="143" t="s">
        <v>22</v>
      </c>
      <c r="D24" s="46" t="s">
        <v>143</v>
      </c>
      <c r="E24" s="144" t="s">
        <v>277</v>
      </c>
      <c r="F24" s="48">
        <f>77*2/60</f>
        <v>2.5666666666666669</v>
      </c>
      <c r="G24" s="145">
        <v>0.03</v>
      </c>
      <c r="H24" s="145">
        <f>HLOOKUP(G24,BDI!$D$19:$J$30,12,)</f>
        <v>0.28489999999999999</v>
      </c>
      <c r="I24" s="66">
        <v>334.4</v>
      </c>
      <c r="J24" s="66">
        <v>296</v>
      </c>
      <c r="K24" s="66">
        <v>38.4</v>
      </c>
      <c r="L24" s="66">
        <v>0</v>
      </c>
      <c r="M24" s="66" t="s">
        <v>257</v>
      </c>
      <c r="N24" s="66" t="s">
        <v>257</v>
      </c>
    </row>
    <row r="25" spans="2:14" ht="18" customHeight="1">
      <c r="B25" s="143" t="s">
        <v>22</v>
      </c>
      <c r="C25" s="143" t="s">
        <v>22</v>
      </c>
      <c r="D25" s="46" t="s">
        <v>144</v>
      </c>
      <c r="E25" s="144" t="s">
        <v>278</v>
      </c>
      <c r="F25" s="48">
        <f>244/60</f>
        <v>4.0666666666666664</v>
      </c>
      <c r="G25" s="145">
        <v>0.04</v>
      </c>
      <c r="H25" s="145">
        <f>HLOOKUP(G25,BDI!$D$19:$J$30,12,)</f>
        <v>0.2994</v>
      </c>
      <c r="I25" s="66">
        <v>567.94000000000005</v>
      </c>
      <c r="J25" s="66">
        <v>450.82</v>
      </c>
      <c r="K25" s="66">
        <v>117.12</v>
      </c>
      <c r="L25" s="66">
        <v>0</v>
      </c>
      <c r="M25" s="66" t="s">
        <v>257</v>
      </c>
      <c r="N25" s="66" t="s">
        <v>259</v>
      </c>
    </row>
    <row r="26" spans="2:14" ht="18" customHeight="1">
      <c r="B26" s="143" t="s">
        <v>22</v>
      </c>
      <c r="C26" s="143" t="s">
        <v>22</v>
      </c>
      <c r="D26" s="46" t="s">
        <v>145</v>
      </c>
      <c r="E26" s="144" t="s">
        <v>279</v>
      </c>
      <c r="F26" s="48">
        <f>73*2/60</f>
        <v>2.4333333333333331</v>
      </c>
      <c r="G26" s="145">
        <v>0.03</v>
      </c>
      <c r="H26" s="145">
        <f>HLOOKUP(G26,BDI!$D$19:$J$30,12,)</f>
        <v>0.28489999999999999</v>
      </c>
      <c r="I26" s="66">
        <v>1340</v>
      </c>
      <c r="J26" s="66">
        <v>695.46</v>
      </c>
      <c r="K26" s="66">
        <v>389.89</v>
      </c>
      <c r="L26" s="66">
        <v>254.65</v>
      </c>
      <c r="M26" s="66" t="s">
        <v>257</v>
      </c>
      <c r="N26" s="66" t="s">
        <v>257</v>
      </c>
    </row>
    <row r="27" spans="2:14" ht="18" customHeight="1">
      <c r="B27" s="143" t="s">
        <v>22</v>
      </c>
      <c r="C27" s="143" t="s">
        <v>22</v>
      </c>
      <c r="D27" s="46" t="s">
        <v>146</v>
      </c>
      <c r="E27" s="176" t="s">
        <v>280</v>
      </c>
      <c r="F27" s="48">
        <f>89*2/60</f>
        <v>2.9666666666666668</v>
      </c>
      <c r="G27" s="145">
        <v>0.03</v>
      </c>
      <c r="H27" s="145">
        <f>HLOOKUP(G27,BDI!$D$19:$J$30,12,)</f>
        <v>0.28489999999999999</v>
      </c>
      <c r="I27" s="66">
        <v>334.4</v>
      </c>
      <c r="J27" s="66">
        <v>296</v>
      </c>
      <c r="K27" s="66">
        <v>38.4</v>
      </c>
      <c r="L27" s="66">
        <v>0</v>
      </c>
      <c r="M27" s="66" t="s">
        <v>257</v>
      </c>
      <c r="N27" s="66" t="s">
        <v>257</v>
      </c>
    </row>
    <row r="28" spans="2:14" ht="18" customHeight="1">
      <c r="B28" s="143" t="s">
        <v>22</v>
      </c>
      <c r="C28" s="143" t="s">
        <v>22</v>
      </c>
      <c r="D28" s="46" t="s">
        <v>147</v>
      </c>
      <c r="E28" s="144" t="s">
        <v>281</v>
      </c>
      <c r="F28" s="48">
        <f>235/60</f>
        <v>3.9166666666666665</v>
      </c>
      <c r="G28" s="145">
        <v>0.04</v>
      </c>
      <c r="H28" s="145">
        <f>HLOOKUP(G28,BDI!$D$19:$J$30,12,)</f>
        <v>0.2994</v>
      </c>
      <c r="I28" s="66">
        <v>3100</v>
      </c>
      <c r="J28" s="66">
        <v>2069.9899999999998</v>
      </c>
      <c r="K28" s="66">
        <v>964.36</v>
      </c>
      <c r="L28" s="66">
        <v>65.650000000000006</v>
      </c>
      <c r="M28" s="66" t="s">
        <v>259</v>
      </c>
      <c r="N28" s="66" t="s">
        <v>259</v>
      </c>
    </row>
    <row r="29" spans="2:14" ht="18" customHeight="1">
      <c r="B29" s="143" t="s">
        <v>22</v>
      </c>
      <c r="C29" s="143" t="s">
        <v>22</v>
      </c>
      <c r="D29" s="46" t="s">
        <v>148</v>
      </c>
      <c r="E29" s="144" t="s">
        <v>282</v>
      </c>
      <c r="F29" s="48">
        <f>211/60</f>
        <v>3.5166666666666666</v>
      </c>
      <c r="G29" s="145">
        <v>0.02</v>
      </c>
      <c r="H29" s="145">
        <f>HLOOKUP(G29,BDI!$D$19:$J$30,12,)</f>
        <v>0.2707</v>
      </c>
      <c r="I29" s="66">
        <v>334.4</v>
      </c>
      <c r="J29" s="66">
        <v>296</v>
      </c>
      <c r="K29" s="66">
        <v>38.4</v>
      </c>
      <c r="L29" s="66">
        <v>0</v>
      </c>
      <c r="M29" s="66" t="s">
        <v>257</v>
      </c>
      <c r="N29" s="66" t="s">
        <v>257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J65541"/>
  <sheetViews>
    <sheetView showGridLines="0" zoomScaleNormal="100" workbookViewId="0">
      <selection activeCell="L28" sqref="L28"/>
    </sheetView>
  </sheetViews>
  <sheetFormatPr defaultColWidth="10.375" defaultRowHeight="14.25"/>
  <cols>
    <col min="1" max="1" width="5.625" customWidth="1"/>
    <col min="2" max="2" width="15.625" style="146" customWidth="1"/>
    <col min="3" max="3" width="35.875" style="146" customWidth="1"/>
    <col min="4" max="4" width="11" style="37" customWidth="1"/>
    <col min="1024" max="1024" width="8.5" customWidth="1"/>
  </cols>
  <sheetData>
    <row r="1" spans="2:10" ht="15" customHeight="1"/>
    <row r="2" spans="2:10" ht="19.5" customHeight="1">
      <c r="B2" s="242" t="s">
        <v>283</v>
      </c>
      <c r="C2" s="242"/>
      <c r="D2" s="242"/>
      <c r="E2" s="242"/>
      <c r="F2" s="242"/>
      <c r="G2" s="242"/>
      <c r="H2" s="242"/>
      <c r="I2" s="242"/>
      <c r="J2" s="242"/>
    </row>
    <row r="3" spans="2:10" ht="19.5" customHeight="1">
      <c r="B3" s="243" t="str">
        <f>'Valor da Contratação'!B8</f>
        <v>DESONERADA</v>
      </c>
      <c r="C3" s="243"/>
      <c r="D3" s="243"/>
      <c r="E3" s="243"/>
      <c r="F3" s="243"/>
      <c r="G3" s="243"/>
      <c r="H3" s="243"/>
      <c r="I3" s="243"/>
      <c r="J3" s="243"/>
    </row>
    <row r="4" spans="2:10" ht="15" customHeight="1">
      <c r="B4" s="135"/>
      <c r="C4" s="135"/>
      <c r="D4" s="14"/>
    </row>
    <row r="5" spans="2:10" ht="15" customHeight="1">
      <c r="B5" s="244" t="s">
        <v>284</v>
      </c>
      <c r="C5" s="244"/>
      <c r="D5" s="244"/>
      <c r="E5" s="244"/>
      <c r="F5" s="244"/>
      <c r="G5" s="244"/>
      <c r="H5" s="244"/>
      <c r="I5" s="244"/>
      <c r="J5" s="244"/>
    </row>
    <row r="6" spans="2:10" ht="15" customHeight="1">
      <c r="B6" s="147"/>
      <c r="C6" s="3"/>
      <c r="D6" s="93"/>
      <c r="E6" s="93"/>
      <c r="J6" s="148"/>
    </row>
    <row r="7" spans="2:10" ht="15" customHeight="1">
      <c r="B7" s="245" t="s">
        <v>285</v>
      </c>
      <c r="C7" s="245"/>
      <c r="D7" s="245"/>
      <c r="E7" s="245"/>
      <c r="F7" s="245"/>
      <c r="G7" s="245"/>
      <c r="H7" s="245"/>
      <c r="I7" s="245"/>
      <c r="J7" s="245"/>
    </row>
    <row r="8" spans="2:10" ht="15" customHeight="1">
      <c r="B8" s="149"/>
      <c r="C8" s="150"/>
      <c r="D8" s="93"/>
      <c r="E8" s="93"/>
      <c r="J8" s="148"/>
    </row>
    <row r="9" spans="2:10" ht="15" customHeight="1">
      <c r="B9" s="246" t="s">
        <v>286</v>
      </c>
      <c r="C9" s="246"/>
      <c r="D9" s="246"/>
      <c r="E9" s="246"/>
      <c r="F9" s="246"/>
      <c r="G9" s="246"/>
      <c r="H9" s="246"/>
      <c r="I9" s="246"/>
      <c r="J9" s="246"/>
    </row>
    <row r="10" spans="2:10" ht="15" customHeight="1">
      <c r="B10" s="247" t="s">
        <v>287</v>
      </c>
      <c r="C10" s="247"/>
      <c r="D10" s="247"/>
      <c r="E10" s="247"/>
      <c r="F10" s="247"/>
      <c r="G10" s="247"/>
      <c r="H10" s="247"/>
      <c r="I10" s="247"/>
      <c r="J10" s="247"/>
    </row>
    <row r="11" spans="2:10" ht="15" customHeight="1">
      <c r="B11" s="247" t="s">
        <v>288</v>
      </c>
      <c r="C11" s="247"/>
      <c r="D11" s="247"/>
      <c r="E11" s="247"/>
      <c r="F11" s="247"/>
      <c r="G11" s="247"/>
      <c r="H11" s="247"/>
      <c r="I11" s="247"/>
      <c r="J11" s="247"/>
    </row>
    <row r="12" spans="2:10" ht="15" customHeight="1">
      <c r="B12" s="247" t="s">
        <v>289</v>
      </c>
      <c r="C12" s="247"/>
      <c r="D12" s="247"/>
      <c r="E12" s="247"/>
      <c r="F12" s="247"/>
      <c r="G12" s="247"/>
      <c r="H12" s="247"/>
      <c r="I12" s="247"/>
      <c r="J12" s="247"/>
    </row>
    <row r="13" spans="2:10" ht="15" customHeight="1">
      <c r="B13" s="247" t="s">
        <v>290</v>
      </c>
      <c r="C13" s="247"/>
      <c r="D13" s="247"/>
      <c r="E13" s="247"/>
      <c r="F13" s="247"/>
      <c r="G13" s="247"/>
      <c r="H13" s="247"/>
      <c r="I13" s="247"/>
      <c r="J13" s="247"/>
    </row>
    <row r="14" spans="2:10" ht="15" customHeight="1">
      <c r="B14" s="247" t="s">
        <v>291</v>
      </c>
      <c r="C14" s="247"/>
      <c r="D14" s="247"/>
      <c r="E14" s="247"/>
      <c r="F14" s="247"/>
      <c r="G14" s="247"/>
      <c r="H14" s="247"/>
      <c r="I14" s="247"/>
      <c r="J14" s="247"/>
    </row>
    <row r="15" spans="2:10" ht="15" customHeight="1">
      <c r="B15" s="247" t="s">
        <v>292</v>
      </c>
      <c r="C15" s="247"/>
      <c r="D15" s="247"/>
      <c r="E15" s="247"/>
      <c r="F15" s="247"/>
      <c r="G15" s="247"/>
      <c r="H15" s="247"/>
      <c r="I15" s="247"/>
      <c r="J15" s="247"/>
    </row>
    <row r="16" spans="2:10" ht="15" customHeight="1">
      <c r="B16" s="248" t="s">
        <v>293</v>
      </c>
      <c r="C16" s="248"/>
      <c r="D16" s="248"/>
      <c r="E16" s="248"/>
      <c r="F16" s="248"/>
      <c r="G16" s="248"/>
      <c r="H16" s="248"/>
      <c r="I16" s="248"/>
      <c r="J16" s="248"/>
    </row>
    <row r="17" spans="2:10" ht="24.75" customHeight="1">
      <c r="D17" s="14"/>
    </row>
    <row r="18" spans="2:10" ht="16.5" customHeight="1">
      <c r="B18" s="193" t="s">
        <v>294</v>
      </c>
      <c r="C18" s="193"/>
      <c r="D18" s="151" t="s">
        <v>249</v>
      </c>
      <c r="E18" s="151" t="s">
        <v>249</v>
      </c>
      <c r="F18" s="151" t="s">
        <v>249</v>
      </c>
      <c r="G18" s="152" t="s">
        <v>249</v>
      </c>
      <c r="H18" s="153" t="s">
        <v>249</v>
      </c>
      <c r="I18" s="153" t="s">
        <v>249</v>
      </c>
      <c r="J18" s="153" t="s">
        <v>249</v>
      </c>
    </row>
    <row r="19" spans="2:10" ht="16.5" customHeight="1">
      <c r="B19" s="193"/>
      <c r="C19" s="193"/>
      <c r="D19" s="154">
        <v>0.05</v>
      </c>
      <c r="E19" s="154">
        <v>0.04</v>
      </c>
      <c r="F19" s="154">
        <v>3.5000000000000003E-2</v>
      </c>
      <c r="G19" s="155">
        <v>0.03</v>
      </c>
      <c r="H19" s="156">
        <v>2.5000000000000001E-2</v>
      </c>
      <c r="I19" s="156">
        <v>0.02</v>
      </c>
      <c r="J19" s="156">
        <v>1.4999999999999999E-2</v>
      </c>
    </row>
    <row r="20" spans="2:10" ht="16.5" customHeight="1">
      <c r="B20" s="157" t="s">
        <v>295</v>
      </c>
      <c r="C20" s="158" t="s">
        <v>296</v>
      </c>
      <c r="D20" s="159">
        <v>0.04</v>
      </c>
      <c r="E20" s="159">
        <v>0.04</v>
      </c>
      <c r="F20" s="159">
        <v>0.04</v>
      </c>
      <c r="G20" s="159">
        <v>0.04</v>
      </c>
      <c r="H20" s="159">
        <v>0.04</v>
      </c>
      <c r="I20" s="159">
        <v>0.04</v>
      </c>
      <c r="J20" s="159">
        <v>0.04</v>
      </c>
    </row>
    <row r="21" spans="2:10" ht="16.5" customHeight="1">
      <c r="B21" s="157" t="s">
        <v>297</v>
      </c>
      <c r="C21" s="143" t="s">
        <v>298</v>
      </c>
      <c r="D21" s="160">
        <v>1.23E-2</v>
      </c>
      <c r="E21" s="160">
        <v>1.23E-2</v>
      </c>
      <c r="F21" s="160">
        <v>1.23E-2</v>
      </c>
      <c r="G21" s="160">
        <v>1.23E-2</v>
      </c>
      <c r="H21" s="160">
        <v>1.23E-2</v>
      </c>
      <c r="I21" s="160">
        <v>1.23E-2</v>
      </c>
      <c r="J21" s="160">
        <v>1.23E-2</v>
      </c>
    </row>
    <row r="22" spans="2:10" ht="16.5" customHeight="1">
      <c r="B22" s="157" t="s">
        <v>299</v>
      </c>
      <c r="C22" s="143" t="s">
        <v>300</v>
      </c>
      <c r="D22" s="160">
        <v>8.0000000000000002E-3</v>
      </c>
      <c r="E22" s="160">
        <v>8.0000000000000002E-3</v>
      </c>
      <c r="F22" s="160">
        <v>8.0000000000000002E-3</v>
      </c>
      <c r="G22" s="160">
        <v>8.0000000000000002E-3</v>
      </c>
      <c r="H22" s="160">
        <v>8.0000000000000002E-3</v>
      </c>
      <c r="I22" s="160">
        <v>8.0000000000000002E-3</v>
      </c>
      <c r="J22" s="160">
        <v>8.0000000000000002E-3</v>
      </c>
    </row>
    <row r="23" spans="2:10" ht="16.5" customHeight="1">
      <c r="B23" s="157" t="s">
        <v>301</v>
      </c>
      <c r="C23" s="143" t="s">
        <v>302</v>
      </c>
      <c r="D23" s="160">
        <v>1.2699999999999999E-2</v>
      </c>
      <c r="E23" s="160">
        <v>1.2699999999999999E-2</v>
      </c>
      <c r="F23" s="160">
        <v>1.2699999999999999E-2</v>
      </c>
      <c r="G23" s="160">
        <v>1.2699999999999999E-2</v>
      </c>
      <c r="H23" s="160">
        <v>1.2699999999999999E-2</v>
      </c>
      <c r="I23" s="160">
        <v>1.2699999999999999E-2</v>
      </c>
      <c r="J23" s="160">
        <v>1.2699999999999999E-2</v>
      </c>
    </row>
    <row r="24" spans="2:10" ht="16.5" customHeight="1">
      <c r="B24" s="157" t="s">
        <v>303</v>
      </c>
      <c r="C24" s="143" t="s">
        <v>304</v>
      </c>
      <c r="D24" s="160">
        <v>7.3999999999999996E-2</v>
      </c>
      <c r="E24" s="160">
        <v>7.3999999999999996E-2</v>
      </c>
      <c r="F24" s="160">
        <v>7.3999999999999996E-2</v>
      </c>
      <c r="G24" s="160">
        <v>7.3999999999999996E-2</v>
      </c>
      <c r="H24" s="160">
        <v>7.3999999999999996E-2</v>
      </c>
      <c r="I24" s="160">
        <v>7.3999999999999996E-2</v>
      </c>
      <c r="J24" s="160">
        <v>7.3999999999999996E-2</v>
      </c>
    </row>
    <row r="25" spans="2:10" ht="16.5" customHeight="1">
      <c r="B25" s="249" t="s">
        <v>200</v>
      </c>
      <c r="C25" s="143" t="s">
        <v>305</v>
      </c>
      <c r="D25" s="160">
        <v>6.4999999999999997E-3</v>
      </c>
      <c r="E25" s="160">
        <v>6.4999999999999997E-3</v>
      </c>
      <c r="F25" s="160">
        <v>6.4999999999999997E-3</v>
      </c>
      <c r="G25" s="160">
        <v>6.4999999999999997E-3</v>
      </c>
      <c r="H25" s="160">
        <v>6.4999999999999997E-3</v>
      </c>
      <c r="I25" s="160">
        <v>6.4999999999999997E-3</v>
      </c>
      <c r="J25" s="160">
        <v>6.4999999999999997E-3</v>
      </c>
    </row>
    <row r="26" spans="2:10" ht="16.5" customHeight="1">
      <c r="B26" s="249"/>
      <c r="C26" s="157" t="s">
        <v>306</v>
      </c>
      <c r="D26" s="161">
        <v>0.03</v>
      </c>
      <c r="E26" s="161">
        <v>0.03</v>
      </c>
      <c r="F26" s="161">
        <v>0.03</v>
      </c>
      <c r="G26" s="161">
        <v>0.03</v>
      </c>
      <c r="H26" s="161">
        <v>0.03</v>
      </c>
      <c r="I26" s="161">
        <v>0.03</v>
      </c>
      <c r="J26" s="161">
        <v>0.03</v>
      </c>
    </row>
    <row r="27" spans="2:10" ht="16.5" customHeight="1">
      <c r="B27" s="249"/>
      <c r="C27" s="157" t="s">
        <v>249</v>
      </c>
      <c r="D27" s="161">
        <v>0.05</v>
      </c>
      <c r="E27" s="161">
        <v>0.04</v>
      </c>
      <c r="F27" s="160">
        <v>3.5000000000000003E-2</v>
      </c>
      <c r="G27" s="161">
        <v>0.03</v>
      </c>
      <c r="H27" s="161">
        <v>2.5000000000000001E-2</v>
      </c>
      <c r="I27" s="161">
        <v>0.02</v>
      </c>
      <c r="J27" s="160">
        <v>1.4999999999999999E-2</v>
      </c>
    </row>
    <row r="28" spans="2:10" ht="16.5" customHeight="1">
      <c r="B28" s="249"/>
      <c r="C28" s="157" t="s">
        <v>307</v>
      </c>
      <c r="D28" s="161">
        <v>3.5999999999999997E-2</v>
      </c>
      <c r="E28" s="161">
        <f t="shared" ref="E28:J28" si="0">$D$28</f>
        <v>3.5999999999999997E-2</v>
      </c>
      <c r="F28" s="161">
        <f t="shared" si="0"/>
        <v>3.5999999999999997E-2</v>
      </c>
      <c r="G28" s="161">
        <f t="shared" si="0"/>
        <v>3.5999999999999997E-2</v>
      </c>
      <c r="H28" s="161">
        <f t="shared" si="0"/>
        <v>3.5999999999999997E-2</v>
      </c>
      <c r="I28" s="161">
        <f t="shared" si="0"/>
        <v>3.5999999999999997E-2</v>
      </c>
      <c r="J28" s="161">
        <f t="shared" si="0"/>
        <v>3.5999999999999997E-2</v>
      </c>
    </row>
    <row r="29" spans="2:10" ht="19.5" customHeight="1">
      <c r="B29" s="217" t="s">
        <v>308</v>
      </c>
      <c r="C29" s="217"/>
      <c r="D29" s="162">
        <f t="shared" ref="D29:J29" si="1">(((1+D22+D20+D23)*(1+D21)*(1+D24))/(1-(D25+D26+D27+D28))-1)</f>
        <v>0.31419243206837622</v>
      </c>
      <c r="E29" s="162">
        <f t="shared" si="1"/>
        <v>0.29938463001690141</v>
      </c>
      <c r="F29" s="162">
        <f t="shared" si="1"/>
        <v>0.29210516430252098</v>
      </c>
      <c r="G29" s="162">
        <f t="shared" si="1"/>
        <v>0.28490680684122571</v>
      </c>
      <c r="H29" s="162">
        <f t="shared" si="1"/>
        <v>0.27778820957340722</v>
      </c>
      <c r="I29" s="162">
        <f t="shared" si="1"/>
        <v>0.27074805414876035</v>
      </c>
      <c r="J29" s="162">
        <f t="shared" si="1"/>
        <v>0.26378505111232875</v>
      </c>
    </row>
    <row r="30" spans="2:10" ht="19.5" customHeight="1">
      <c r="B30" s="250" t="s">
        <v>309</v>
      </c>
      <c r="C30" s="250"/>
      <c r="D30" s="163">
        <f t="shared" ref="D30:J30" si="2">ROUND(D29,4)</f>
        <v>0.31419999999999998</v>
      </c>
      <c r="E30" s="163">
        <f t="shared" si="2"/>
        <v>0.2994</v>
      </c>
      <c r="F30" s="163">
        <f t="shared" si="2"/>
        <v>0.29210000000000003</v>
      </c>
      <c r="G30" s="163">
        <f t="shared" si="2"/>
        <v>0.28489999999999999</v>
      </c>
      <c r="H30" s="163">
        <f t="shared" si="2"/>
        <v>0.27779999999999999</v>
      </c>
      <c r="I30" s="163">
        <f t="shared" si="2"/>
        <v>0.2707</v>
      </c>
      <c r="J30" s="163">
        <f t="shared" si="2"/>
        <v>0.26379999999999998</v>
      </c>
    </row>
    <row r="31" spans="2:10" ht="24.75" customHeight="1">
      <c r="B31" s="164"/>
      <c r="C31" s="164"/>
      <c r="D31" s="67"/>
      <c r="E31" s="67"/>
      <c r="F31" s="67"/>
      <c r="G31" s="67"/>
      <c r="H31" s="67"/>
      <c r="I31" s="67"/>
      <c r="J31" s="67"/>
    </row>
    <row r="32" spans="2:10" ht="16.5" customHeight="1">
      <c r="B32" s="193" t="s">
        <v>310</v>
      </c>
      <c r="C32" s="193"/>
      <c r="D32" s="151" t="s">
        <v>249</v>
      </c>
      <c r="E32" s="151" t="s">
        <v>249</v>
      </c>
      <c r="F32" s="151" t="s">
        <v>249</v>
      </c>
      <c r="G32" s="152" t="s">
        <v>249</v>
      </c>
      <c r="H32" s="153" t="s">
        <v>249</v>
      </c>
      <c r="I32" s="153" t="s">
        <v>249</v>
      </c>
      <c r="J32" s="153" t="s">
        <v>249</v>
      </c>
    </row>
    <row r="33" spans="2:10" ht="16.5" customHeight="1">
      <c r="B33" s="193"/>
      <c r="C33" s="193"/>
      <c r="D33" s="154">
        <v>0.05</v>
      </c>
      <c r="E33" s="154">
        <v>0.04</v>
      </c>
      <c r="F33" s="154">
        <v>3.5000000000000003E-2</v>
      </c>
      <c r="G33" s="155">
        <v>0.03</v>
      </c>
      <c r="H33" s="156">
        <v>2.5000000000000001E-2</v>
      </c>
      <c r="I33" s="156">
        <v>0.02</v>
      </c>
      <c r="J33" s="156">
        <v>1.4999999999999999E-2</v>
      </c>
    </row>
    <row r="34" spans="2:10" ht="16.5" customHeight="1">
      <c r="B34" s="157" t="s">
        <v>295</v>
      </c>
      <c r="C34" s="158" t="s">
        <v>296</v>
      </c>
      <c r="D34" s="160">
        <v>3.4500000000000003E-2</v>
      </c>
      <c r="E34" s="160">
        <v>3.4500000000000003E-2</v>
      </c>
      <c r="F34" s="160">
        <v>3.4500000000000003E-2</v>
      </c>
      <c r="G34" s="160">
        <v>3.4500000000000003E-2</v>
      </c>
      <c r="H34" s="160">
        <v>3.4500000000000003E-2</v>
      </c>
      <c r="I34" s="160">
        <v>3.4500000000000003E-2</v>
      </c>
      <c r="J34" s="160">
        <v>3.4500000000000003E-2</v>
      </c>
    </row>
    <row r="35" spans="2:10" ht="16.5" customHeight="1">
      <c r="B35" s="157" t="s">
        <v>297</v>
      </c>
      <c r="C35" s="143" t="s">
        <v>298</v>
      </c>
      <c r="D35" s="160">
        <v>8.5000000000000006E-3</v>
      </c>
      <c r="E35" s="160">
        <v>8.5000000000000006E-3</v>
      </c>
      <c r="F35" s="160">
        <v>8.5000000000000006E-3</v>
      </c>
      <c r="G35" s="160">
        <v>8.5000000000000006E-3</v>
      </c>
      <c r="H35" s="160">
        <v>8.5000000000000006E-3</v>
      </c>
      <c r="I35" s="160">
        <v>8.5000000000000006E-3</v>
      </c>
      <c r="J35" s="160">
        <v>8.5000000000000006E-3</v>
      </c>
    </row>
    <row r="36" spans="2:10" ht="16.5" customHeight="1">
      <c r="B36" s="157" t="s">
        <v>299</v>
      </c>
      <c r="C36" s="143" t="s">
        <v>300</v>
      </c>
      <c r="D36" s="160">
        <v>4.7999999999999996E-3</v>
      </c>
      <c r="E36" s="160">
        <v>4.7999999999999996E-3</v>
      </c>
      <c r="F36" s="160">
        <v>4.7999999999999996E-3</v>
      </c>
      <c r="G36" s="160">
        <v>4.7999999999999996E-3</v>
      </c>
      <c r="H36" s="160">
        <v>4.7999999999999996E-3</v>
      </c>
      <c r="I36" s="160">
        <v>4.7999999999999996E-3</v>
      </c>
      <c r="J36" s="160">
        <v>4.7999999999999996E-3</v>
      </c>
    </row>
    <row r="37" spans="2:10" ht="16.5" customHeight="1">
      <c r="B37" s="157" t="s">
        <v>301</v>
      </c>
      <c r="C37" s="143" t="s">
        <v>302</v>
      </c>
      <c r="D37" s="160">
        <v>8.5000000000000006E-3</v>
      </c>
      <c r="E37" s="160">
        <v>8.5000000000000006E-3</v>
      </c>
      <c r="F37" s="160">
        <v>8.5000000000000006E-3</v>
      </c>
      <c r="G37" s="160">
        <v>8.5000000000000006E-3</v>
      </c>
      <c r="H37" s="160">
        <v>8.5000000000000006E-3</v>
      </c>
      <c r="I37" s="160">
        <v>8.5000000000000006E-3</v>
      </c>
      <c r="J37" s="160">
        <v>8.5000000000000006E-3</v>
      </c>
    </row>
    <row r="38" spans="2:10" ht="16.5" customHeight="1">
      <c r="B38" s="157" t="s">
        <v>303</v>
      </c>
      <c r="C38" s="143" t="s">
        <v>304</v>
      </c>
      <c r="D38" s="160">
        <v>5.11E-2</v>
      </c>
      <c r="E38" s="160">
        <v>5.11E-2</v>
      </c>
      <c r="F38" s="160">
        <v>5.11E-2</v>
      </c>
      <c r="G38" s="160">
        <v>5.11E-2</v>
      </c>
      <c r="H38" s="160">
        <v>5.11E-2</v>
      </c>
      <c r="I38" s="160">
        <v>5.11E-2</v>
      </c>
      <c r="J38" s="160">
        <v>5.11E-2</v>
      </c>
    </row>
    <row r="39" spans="2:10" ht="16.5" customHeight="1">
      <c r="B39" s="249" t="s">
        <v>200</v>
      </c>
      <c r="C39" s="143" t="s">
        <v>305</v>
      </c>
      <c r="D39" s="160">
        <v>6.4999999999999997E-3</v>
      </c>
      <c r="E39" s="160">
        <v>6.4999999999999997E-3</v>
      </c>
      <c r="F39" s="160">
        <v>6.4999999999999997E-3</v>
      </c>
      <c r="G39" s="160">
        <v>6.4999999999999997E-3</v>
      </c>
      <c r="H39" s="160">
        <v>6.4999999999999997E-3</v>
      </c>
      <c r="I39" s="160">
        <v>6.4999999999999997E-3</v>
      </c>
      <c r="J39" s="160">
        <v>6.4999999999999997E-3</v>
      </c>
    </row>
    <row r="40" spans="2:10" ht="16.5" customHeight="1">
      <c r="B40" s="249"/>
      <c r="C40" s="157" t="s">
        <v>306</v>
      </c>
      <c r="D40" s="161">
        <v>0.03</v>
      </c>
      <c r="E40" s="161">
        <v>0.03</v>
      </c>
      <c r="F40" s="161">
        <v>0.03</v>
      </c>
      <c r="G40" s="161">
        <v>0.03</v>
      </c>
      <c r="H40" s="161">
        <v>0.03</v>
      </c>
      <c r="I40" s="161">
        <v>0.03</v>
      </c>
      <c r="J40" s="161">
        <v>0.03</v>
      </c>
    </row>
    <row r="41" spans="2:10" ht="16.5" customHeight="1">
      <c r="B41" s="249"/>
      <c r="C41" s="157" t="s">
        <v>249</v>
      </c>
      <c r="D41" s="161">
        <v>0</v>
      </c>
      <c r="E41" s="161">
        <v>0</v>
      </c>
      <c r="F41" s="160">
        <v>0</v>
      </c>
      <c r="G41" s="161">
        <v>0</v>
      </c>
      <c r="H41" s="161">
        <v>0</v>
      </c>
      <c r="I41" s="161">
        <v>0</v>
      </c>
      <c r="J41" s="160">
        <v>0</v>
      </c>
    </row>
    <row r="42" spans="2:10" ht="16.5" customHeight="1">
      <c r="B42" s="249"/>
      <c r="C42" s="157" t="s">
        <v>307</v>
      </c>
      <c r="D42" s="161">
        <f>D28</f>
        <v>3.5999999999999997E-2</v>
      </c>
      <c r="E42" s="161">
        <f t="shared" ref="E42:J42" si="3">$D$42</f>
        <v>3.5999999999999997E-2</v>
      </c>
      <c r="F42" s="161">
        <f t="shared" si="3"/>
        <v>3.5999999999999997E-2</v>
      </c>
      <c r="G42" s="161">
        <f t="shared" si="3"/>
        <v>3.5999999999999997E-2</v>
      </c>
      <c r="H42" s="161">
        <f t="shared" si="3"/>
        <v>3.5999999999999997E-2</v>
      </c>
      <c r="I42" s="161">
        <f t="shared" si="3"/>
        <v>3.5999999999999997E-2</v>
      </c>
      <c r="J42" s="161">
        <f t="shared" si="3"/>
        <v>3.5999999999999997E-2</v>
      </c>
    </row>
    <row r="43" spans="2:10" ht="16.5" customHeight="1">
      <c r="B43" s="251" t="s">
        <v>308</v>
      </c>
      <c r="C43" s="251"/>
      <c r="D43" s="162">
        <f t="shared" ref="D43:J43" si="4">(((1+D36+D34+D37)*(1+D35)*(1+D38))/(1-(D39+D40+D41+D42))-1)</f>
        <v>0.19752451960107775</v>
      </c>
      <c r="E43" s="162">
        <f t="shared" si="4"/>
        <v>0.19752451960107775</v>
      </c>
      <c r="F43" s="162">
        <f t="shared" si="4"/>
        <v>0.19752451960107775</v>
      </c>
      <c r="G43" s="162">
        <f t="shared" si="4"/>
        <v>0.19752451960107775</v>
      </c>
      <c r="H43" s="162">
        <f t="shared" si="4"/>
        <v>0.19752451960107775</v>
      </c>
      <c r="I43" s="162">
        <f t="shared" si="4"/>
        <v>0.19752451960107775</v>
      </c>
      <c r="J43" s="162">
        <f t="shared" si="4"/>
        <v>0.19752451960107775</v>
      </c>
    </row>
    <row r="44" spans="2:10" ht="19.5" customHeight="1">
      <c r="B44" s="252" t="s">
        <v>309</v>
      </c>
      <c r="C44" s="252"/>
      <c r="D44" s="163">
        <f t="shared" ref="D44:J44" si="5">ROUND(D43,4)</f>
        <v>0.19750000000000001</v>
      </c>
      <c r="E44" s="163">
        <f t="shared" si="5"/>
        <v>0.19750000000000001</v>
      </c>
      <c r="F44" s="163">
        <f t="shared" si="5"/>
        <v>0.19750000000000001</v>
      </c>
      <c r="G44" s="163">
        <f t="shared" si="5"/>
        <v>0.19750000000000001</v>
      </c>
      <c r="H44" s="163">
        <f t="shared" si="5"/>
        <v>0.19750000000000001</v>
      </c>
      <c r="I44" s="163">
        <f t="shared" si="5"/>
        <v>0.19750000000000001</v>
      </c>
      <c r="J44" s="163">
        <f t="shared" si="5"/>
        <v>0.19750000000000001</v>
      </c>
    </row>
    <row r="65540" ht="12.75" customHeight="1"/>
    <row r="65541" ht="12.75" customHeight="1"/>
  </sheetData>
  <mergeCells count="20">
    <mergeCell ref="B30:C30"/>
    <mergeCell ref="B32:C33"/>
    <mergeCell ref="B39:B42"/>
    <mergeCell ref="B43:C43"/>
    <mergeCell ref="B44:C44"/>
    <mergeCell ref="B15:J15"/>
    <mergeCell ref="B16:J16"/>
    <mergeCell ref="B18:C19"/>
    <mergeCell ref="B25:B28"/>
    <mergeCell ref="B29:C29"/>
    <mergeCell ref="B10:J10"/>
    <mergeCell ref="B11:J11"/>
    <mergeCell ref="B12:J12"/>
    <mergeCell ref="B13:J13"/>
    <mergeCell ref="B14:J14"/>
    <mergeCell ref="B2:J2"/>
    <mergeCell ref="B3:J3"/>
    <mergeCell ref="B5:J5"/>
    <mergeCell ref="B7:J7"/>
    <mergeCell ref="B9:J9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40"/>
  <sheetViews>
    <sheetView showGridLines="0" zoomScaleNormal="100" workbookViewId="0">
      <selection activeCell="K35" sqref="K35"/>
    </sheetView>
  </sheetViews>
  <sheetFormatPr defaultColWidth="10.5" defaultRowHeight="14.25"/>
  <cols>
    <col min="1" max="1" width="5.625" customWidth="1"/>
    <col min="2" max="2" width="33.375" style="11" customWidth="1"/>
    <col min="3" max="4" width="14.75" style="11" customWidth="1"/>
    <col min="5" max="5" width="15.625" style="11" customWidth="1"/>
    <col min="6" max="6" width="13.75" style="11" customWidth="1"/>
    <col min="7" max="7" width="14.875" style="11" customWidth="1"/>
    <col min="8" max="8" width="14.375" style="11" customWidth="1"/>
    <col min="9" max="9" width="14" style="12" customWidth="1"/>
    <col min="10" max="10" width="14.875" style="11" customWidth="1"/>
    <col min="11" max="249" width="10.625" style="11" customWidth="1"/>
    <col min="1020" max="1024" width="8.5" customWidth="1"/>
  </cols>
  <sheetData>
    <row r="1" spans="2:250" ht="15" customHeight="1"/>
    <row r="2" spans="2:250" ht="24.75" customHeight="1">
      <c r="B2" s="192" t="str">
        <f>"PLANILHA RESUMO "&amp;'Valor da Contratação'!B7&amp;""</f>
        <v>PLANILHA RESUMO POLO I</v>
      </c>
      <c r="C2" s="192"/>
      <c r="D2" s="192"/>
      <c r="E2" s="192"/>
      <c r="F2" s="192"/>
      <c r="G2" s="192"/>
      <c r="H2" s="192"/>
      <c r="I2" s="192"/>
      <c r="J2" s="13"/>
    </row>
    <row r="3" spans="2:250" ht="15" customHeight="1">
      <c r="B3" s="3"/>
      <c r="H3" s="3"/>
      <c r="I3" s="14"/>
    </row>
    <row r="4" spans="2:250" ht="46.5" customHeight="1">
      <c r="B4" s="15" t="s">
        <v>13</v>
      </c>
      <c r="C4" s="15" t="s">
        <v>14</v>
      </c>
      <c r="D4" s="15" t="s">
        <v>15</v>
      </c>
      <c r="E4" s="15" t="s">
        <v>16</v>
      </c>
      <c r="F4" s="15" t="s">
        <v>17</v>
      </c>
      <c r="G4" s="15" t="s">
        <v>18</v>
      </c>
      <c r="H4" s="15" t="s">
        <v>19</v>
      </c>
      <c r="I4" s="15" t="s">
        <v>20</v>
      </c>
    </row>
    <row r="5" spans="2:250" ht="19.5" customHeight="1">
      <c r="B5" s="16" t="s">
        <v>21</v>
      </c>
      <c r="C5" s="17">
        <f>'Base Maringá'!C20</f>
        <v>16118.64</v>
      </c>
      <c r="D5" s="18">
        <f>'Base Maringá'!AT10</f>
        <v>17478.23182202422</v>
      </c>
      <c r="E5" s="18">
        <f>D5*12</f>
        <v>209738.78186429065</v>
      </c>
      <c r="F5" s="18">
        <f>'Base Maringá'!AT12</f>
        <v>52434.695466072655</v>
      </c>
      <c r="G5" s="18">
        <f>F5*12</f>
        <v>629216.34559287189</v>
      </c>
      <c r="H5" s="18">
        <f>D5+F5</f>
        <v>69912.927288096878</v>
      </c>
      <c r="I5" s="18">
        <f>H5*12</f>
        <v>838955.1274571626</v>
      </c>
    </row>
    <row r="6" spans="2:250" ht="19.5" customHeight="1">
      <c r="B6" s="16" t="s">
        <v>22</v>
      </c>
      <c r="C6" s="17">
        <f>'Base Cascavel'!C19</f>
        <v>14838.64</v>
      </c>
      <c r="D6" s="18">
        <f>'Base Cascavel'!AT10</f>
        <v>17247.108699155859</v>
      </c>
      <c r="E6" s="18">
        <f>D6*12</f>
        <v>206965.30438987032</v>
      </c>
      <c r="F6" s="18">
        <f>'Base Cascavel'!AT12</f>
        <v>51741.32609746758</v>
      </c>
      <c r="G6" s="18">
        <f>F6*12</f>
        <v>620895.91316961101</v>
      </c>
      <c r="H6" s="18">
        <f>D6+F6</f>
        <v>68988.434796623435</v>
      </c>
      <c r="I6" s="18">
        <f>H6*12</f>
        <v>827861.21755948127</v>
      </c>
    </row>
    <row r="7" spans="2:250" ht="19.5" customHeight="1">
      <c r="B7" s="19" t="str">
        <f>"TOTAL "&amp;'Valor da Contratação'!B7&amp;""</f>
        <v>TOTAL POLO I</v>
      </c>
      <c r="C7" s="20">
        <f>SUM(C5:C6)</f>
        <v>30957.279999999999</v>
      </c>
      <c r="D7" s="181">
        <f t="shared" ref="D7:I7" si="0">SUM(D5:D6)</f>
        <v>34725.340521180078</v>
      </c>
      <c r="E7" s="181">
        <f t="shared" si="0"/>
        <v>416704.08625416097</v>
      </c>
      <c r="F7" s="181">
        <f t="shared" si="0"/>
        <v>104176.02156354024</v>
      </c>
      <c r="G7" s="181">
        <f t="shared" si="0"/>
        <v>1250112.258762483</v>
      </c>
      <c r="H7" s="181">
        <f t="shared" si="0"/>
        <v>138901.36208472031</v>
      </c>
      <c r="I7" s="181">
        <f t="shared" si="0"/>
        <v>1666816.3450166439</v>
      </c>
      <c r="J7" s="21"/>
    </row>
    <row r="8" spans="2:250" ht="24.75" customHeight="1">
      <c r="B8" s="3"/>
      <c r="C8" s="3"/>
      <c r="D8" s="3"/>
      <c r="E8" s="3"/>
      <c r="F8" s="3"/>
      <c r="G8" s="22"/>
      <c r="H8" s="3"/>
      <c r="I8" s="14"/>
    </row>
    <row r="9" spans="2:250" s="23" customFormat="1" ht="27" customHeight="1">
      <c r="B9" s="193" t="str">
        <f>"BASE "&amp;B5</f>
        <v>BASE MARINGÁ</v>
      </c>
      <c r="C9" s="194" t="s">
        <v>23</v>
      </c>
      <c r="D9" s="194"/>
      <c r="E9" s="194"/>
      <c r="F9" s="194" t="s">
        <v>24</v>
      </c>
      <c r="G9" s="194"/>
      <c r="H9" s="194"/>
      <c r="I9" s="2" t="s">
        <v>25</v>
      </c>
      <c r="IP9" s="24"/>
    </row>
    <row r="10" spans="2:250" s="23" customFormat="1" ht="22.5" customHeight="1">
      <c r="B10" s="193"/>
      <c r="C10" s="25" t="s">
        <v>26</v>
      </c>
      <c r="D10" s="25" t="s">
        <v>27</v>
      </c>
      <c r="E10" s="25" t="s">
        <v>28</v>
      </c>
      <c r="F10" s="26" t="s">
        <v>26</v>
      </c>
      <c r="G10" s="26" t="s">
        <v>27</v>
      </c>
      <c r="H10" s="26" t="s">
        <v>28</v>
      </c>
      <c r="I10" s="26" t="s">
        <v>29</v>
      </c>
      <c r="IP10" s="24"/>
    </row>
    <row r="11" spans="2:250" ht="16.5" customHeight="1">
      <c r="B11" s="16" t="str">
        <f>'Base Maringá'!B7</f>
        <v>APS ASTORGA</v>
      </c>
      <c r="C11" s="18">
        <f>'Base Maringá'!AO7</f>
        <v>1121.0477735322463</v>
      </c>
      <c r="D11" s="18">
        <f t="shared" ref="D11:D23" si="1">C11*3</f>
        <v>3363.1433205967387</v>
      </c>
      <c r="E11" s="18">
        <f t="shared" ref="E11:E23" si="2">C11+D11</f>
        <v>4484.1910941289852</v>
      </c>
      <c r="F11" s="18">
        <f t="shared" ref="F11:F23" si="3">C11*12</f>
        <v>13452.573282386955</v>
      </c>
      <c r="G11" s="18">
        <f t="shared" ref="G11:G23" si="4">F11*3</f>
        <v>40357.719847160864</v>
      </c>
      <c r="H11" s="18">
        <f t="shared" ref="H11:H23" si="5">F11+G11</f>
        <v>53810.293129547819</v>
      </c>
      <c r="I11" s="27">
        <f t="shared" ref="I11:I23" si="6">F11/$E$7</f>
        <v>3.2283276613183504E-2</v>
      </c>
    </row>
    <row r="12" spans="2:250" ht="16.5" customHeight="1">
      <c r="B12" s="16" t="str">
        <f>'Base Maringá'!B8</f>
        <v>APS CAMPO MOURÃO</v>
      </c>
      <c r="C12" s="18">
        <f>'Base Maringá'!AO8</f>
        <v>1855.8996845264621</v>
      </c>
      <c r="D12" s="18">
        <f t="shared" si="1"/>
        <v>5567.6990535793866</v>
      </c>
      <c r="E12" s="18">
        <f t="shared" si="2"/>
        <v>7423.5987381058485</v>
      </c>
      <c r="F12" s="18">
        <f t="shared" si="3"/>
        <v>22270.796214317546</v>
      </c>
      <c r="G12" s="18">
        <f t="shared" si="4"/>
        <v>66812.388642952632</v>
      </c>
      <c r="H12" s="18">
        <f t="shared" si="5"/>
        <v>89083.184857270186</v>
      </c>
      <c r="I12" s="27">
        <f t="shared" si="6"/>
        <v>5.3445111168729659E-2</v>
      </c>
    </row>
    <row r="13" spans="2:250" ht="16.5" customHeight="1">
      <c r="B13" s="16" t="str">
        <f>'Base Maringá'!B9</f>
        <v>APS CIANORTE</v>
      </c>
      <c r="C13" s="18">
        <f>'Base Maringá'!AO9</f>
        <v>1017.672876559284</v>
      </c>
      <c r="D13" s="18">
        <f t="shared" si="1"/>
        <v>3053.018629677852</v>
      </c>
      <c r="E13" s="18">
        <f t="shared" si="2"/>
        <v>4070.6915062371359</v>
      </c>
      <c r="F13" s="18">
        <f t="shared" si="3"/>
        <v>12212.074518711408</v>
      </c>
      <c r="G13" s="18">
        <f t="shared" si="4"/>
        <v>36636.223556134224</v>
      </c>
      <c r="H13" s="18">
        <f t="shared" si="5"/>
        <v>48848.298074845632</v>
      </c>
      <c r="I13" s="27">
        <f t="shared" si="6"/>
        <v>2.9306346929516017E-2</v>
      </c>
    </row>
    <row r="14" spans="2:250" ht="16.5" customHeight="1">
      <c r="B14" s="16" t="str">
        <f>'Base Maringá'!B10</f>
        <v>APS COLORADO</v>
      </c>
      <c r="C14" s="18">
        <f>'Base Maringá'!AO10</f>
        <v>1035.5401427027589</v>
      </c>
      <c r="D14" s="18">
        <f t="shared" si="1"/>
        <v>3106.6204281082764</v>
      </c>
      <c r="E14" s="18">
        <f t="shared" si="2"/>
        <v>4142.1605708110355</v>
      </c>
      <c r="F14" s="18">
        <f t="shared" si="3"/>
        <v>12426.481712433106</v>
      </c>
      <c r="G14" s="18">
        <f t="shared" si="4"/>
        <v>37279.445137299321</v>
      </c>
      <c r="H14" s="18">
        <f t="shared" si="5"/>
        <v>49705.926849732423</v>
      </c>
      <c r="I14" s="27">
        <f t="shared" si="6"/>
        <v>2.9820877985952367E-2</v>
      </c>
    </row>
    <row r="15" spans="2:250" ht="16.5" customHeight="1">
      <c r="B15" s="16" t="str">
        <f>'Base Maringá'!B11</f>
        <v>APS CRUZEIRO DO OESTE</v>
      </c>
      <c r="C15" s="18">
        <f>'Base Maringá'!AO11</f>
        <v>1211.3050998854494</v>
      </c>
      <c r="D15" s="18">
        <f t="shared" si="1"/>
        <v>3633.915299656348</v>
      </c>
      <c r="E15" s="18">
        <f t="shared" si="2"/>
        <v>4845.2203995417976</v>
      </c>
      <c r="F15" s="18">
        <f t="shared" si="3"/>
        <v>14535.661198625392</v>
      </c>
      <c r="G15" s="18">
        <f t="shared" si="4"/>
        <v>43606.983595876176</v>
      </c>
      <c r="H15" s="18">
        <f t="shared" si="5"/>
        <v>58142.644794501568</v>
      </c>
      <c r="I15" s="27">
        <f t="shared" si="6"/>
        <v>3.4882454187789354E-2</v>
      </c>
    </row>
    <row r="16" spans="2:250" ht="16.5" customHeight="1">
      <c r="B16" s="16" t="str">
        <f>'Base Maringá'!B12</f>
        <v>APS LOANDA</v>
      </c>
      <c r="C16" s="18">
        <f>'Base Maringá'!AO12</f>
        <v>1169.8884964714246</v>
      </c>
      <c r="D16" s="18">
        <f t="shared" si="1"/>
        <v>3509.6654894142739</v>
      </c>
      <c r="E16" s="18">
        <f t="shared" si="2"/>
        <v>4679.5539858856982</v>
      </c>
      <c r="F16" s="18">
        <f t="shared" si="3"/>
        <v>14038.661957657096</v>
      </c>
      <c r="G16" s="18">
        <f t="shared" si="4"/>
        <v>42115.985872971287</v>
      </c>
      <c r="H16" s="18">
        <f t="shared" si="5"/>
        <v>56154.647830628383</v>
      </c>
      <c r="I16" s="27">
        <f t="shared" si="6"/>
        <v>3.3689763121483939E-2</v>
      </c>
    </row>
    <row r="17" spans="2:9" ht="16.5" customHeight="1">
      <c r="B17" s="16" t="str">
        <f>'Base Maringá'!B13</f>
        <v>APS MANDAGUARI</v>
      </c>
      <c r="C17" s="18">
        <f>'Base Maringá'!AO13</f>
        <v>937.2701789136463</v>
      </c>
      <c r="D17" s="18">
        <f t="shared" si="1"/>
        <v>2811.8105367409389</v>
      </c>
      <c r="E17" s="18">
        <f t="shared" si="2"/>
        <v>3749.0807156545852</v>
      </c>
      <c r="F17" s="18">
        <f t="shared" si="3"/>
        <v>11247.242146963756</v>
      </c>
      <c r="G17" s="18">
        <f t="shared" si="4"/>
        <v>33741.726440891267</v>
      </c>
      <c r="H17" s="18">
        <f t="shared" si="5"/>
        <v>44988.968587855023</v>
      </c>
      <c r="I17" s="27">
        <f t="shared" si="6"/>
        <v>2.6990957175552409E-2</v>
      </c>
    </row>
    <row r="18" spans="2:9" ht="16.5" customHeight="1">
      <c r="B18" s="16" t="str">
        <f>'Base Maringá'!B14</f>
        <v>APS NOVA ESPERANÇA</v>
      </c>
      <c r="C18" s="18">
        <f>'Base Maringá'!AO14</f>
        <v>1024.0959291247534</v>
      </c>
      <c r="D18" s="18">
        <f t="shared" si="1"/>
        <v>3072.28778737426</v>
      </c>
      <c r="E18" s="18">
        <f t="shared" si="2"/>
        <v>4096.3837164990136</v>
      </c>
      <c r="F18" s="18">
        <f t="shared" si="3"/>
        <v>12289.15114949704</v>
      </c>
      <c r="G18" s="18">
        <f t="shared" si="4"/>
        <v>36867.45344849112</v>
      </c>
      <c r="H18" s="18">
        <f t="shared" si="5"/>
        <v>49156.60459798816</v>
      </c>
      <c r="I18" s="27">
        <f t="shared" si="6"/>
        <v>2.9491314232041148E-2</v>
      </c>
    </row>
    <row r="19" spans="2:9" ht="16.5" customHeight="1">
      <c r="B19" s="16" t="str">
        <f>'Base Maringá'!B15</f>
        <v>APS PAIÇANDU</v>
      </c>
      <c r="C19" s="18">
        <f>'Base Maringá'!AO15</f>
        <v>1017.672876559284</v>
      </c>
      <c r="D19" s="18">
        <f t="shared" si="1"/>
        <v>3053.018629677852</v>
      </c>
      <c r="E19" s="18">
        <f t="shared" si="2"/>
        <v>4070.6915062371359</v>
      </c>
      <c r="F19" s="18">
        <f t="shared" si="3"/>
        <v>12212.074518711408</v>
      </c>
      <c r="G19" s="18">
        <f t="shared" si="4"/>
        <v>36636.223556134224</v>
      </c>
      <c r="H19" s="18">
        <f t="shared" si="5"/>
        <v>48848.298074845632</v>
      </c>
      <c r="I19" s="27">
        <f t="shared" si="6"/>
        <v>2.9306346929516017E-2</v>
      </c>
    </row>
    <row r="20" spans="2:9" ht="16.5" customHeight="1">
      <c r="B20" s="16" t="str">
        <f>'Base Maringá'!B16</f>
        <v>APS PARANAVAÍ</v>
      </c>
      <c r="C20" s="18">
        <f>'Base Maringá'!AO16</f>
        <v>1610.6812684203344</v>
      </c>
      <c r="D20" s="18">
        <f t="shared" si="1"/>
        <v>4832.0438052610034</v>
      </c>
      <c r="E20" s="18">
        <f t="shared" si="2"/>
        <v>6442.7250736813376</v>
      </c>
      <c r="F20" s="18">
        <f t="shared" si="3"/>
        <v>19328.175221044014</v>
      </c>
      <c r="G20" s="18">
        <f t="shared" si="4"/>
        <v>57984.525663132037</v>
      </c>
      <c r="H20" s="18">
        <f t="shared" si="5"/>
        <v>77312.700884176054</v>
      </c>
      <c r="I20" s="27">
        <f t="shared" si="6"/>
        <v>4.6383454971101842E-2</v>
      </c>
    </row>
    <row r="21" spans="2:9" ht="16.5" customHeight="1">
      <c r="B21" s="16" t="str">
        <f>'Base Maringá'!B17</f>
        <v>APS UMUARAMA</v>
      </c>
      <c r="C21" s="18">
        <f>'Base Maringá'!AO17</f>
        <v>2307.6708999833822</v>
      </c>
      <c r="D21" s="18">
        <f t="shared" si="1"/>
        <v>6923.0126999501463</v>
      </c>
      <c r="E21" s="18">
        <f t="shared" si="2"/>
        <v>9230.683599933529</v>
      </c>
      <c r="F21" s="18">
        <f t="shared" si="3"/>
        <v>27692.050799800585</v>
      </c>
      <c r="G21" s="18">
        <f t="shared" si="4"/>
        <v>83076.152399401763</v>
      </c>
      <c r="H21" s="18">
        <f t="shared" si="5"/>
        <v>110768.20319920234</v>
      </c>
      <c r="I21" s="27">
        <f t="shared" si="6"/>
        <v>6.645495379882195E-2</v>
      </c>
    </row>
    <row r="22" spans="2:9" ht="16.5" customHeight="1">
      <c r="B22" s="16" t="str">
        <f>'Base Maringá'!B18</f>
        <v>CEDOCPREV MARINGÁ</v>
      </c>
      <c r="C22" s="18">
        <f>'Base Maringá'!AO18</f>
        <v>1211.4065730059867</v>
      </c>
      <c r="D22" s="18">
        <f t="shared" si="1"/>
        <v>3634.2197190179604</v>
      </c>
      <c r="E22" s="18">
        <f t="shared" si="2"/>
        <v>4845.6262920239469</v>
      </c>
      <c r="F22" s="18">
        <f t="shared" si="3"/>
        <v>14536.878876071842</v>
      </c>
      <c r="G22" s="18">
        <f t="shared" si="4"/>
        <v>43610.636628215521</v>
      </c>
      <c r="H22" s="18">
        <f t="shared" si="5"/>
        <v>58147.515504287367</v>
      </c>
      <c r="I22" s="27">
        <f t="shared" si="6"/>
        <v>3.4885376351230069E-2</v>
      </c>
    </row>
    <row r="23" spans="2:9" ht="16.5" customHeight="1">
      <c r="B23" s="16" t="str">
        <f>'Base Maringá'!B19</f>
        <v>GEX/APS MARINGÁ</v>
      </c>
      <c r="C23" s="18">
        <f>'Base Maringá'!AO19</f>
        <v>1958.0800223392077</v>
      </c>
      <c r="D23" s="18">
        <f t="shared" si="1"/>
        <v>5874.240067017623</v>
      </c>
      <c r="E23" s="18">
        <f t="shared" si="2"/>
        <v>7832.320089356831</v>
      </c>
      <c r="F23" s="18">
        <f t="shared" si="3"/>
        <v>23496.960268070492</v>
      </c>
      <c r="G23" s="18">
        <f t="shared" si="4"/>
        <v>70490.880804211483</v>
      </c>
      <c r="H23" s="18">
        <f t="shared" si="5"/>
        <v>93987.841072281968</v>
      </c>
      <c r="I23" s="27">
        <f t="shared" si="6"/>
        <v>5.6387640637963303E-2</v>
      </c>
    </row>
    <row r="24" spans="2:9" ht="22.5" customHeight="1">
      <c r="B24" s="28" t="str">
        <f>"Total Base "&amp;B5</f>
        <v>Total Base MARINGÁ</v>
      </c>
      <c r="C24" s="28">
        <f t="shared" ref="C24:I24" si="7">SUM(C11:C23)</f>
        <v>17478.23182202422</v>
      </c>
      <c r="D24" s="28">
        <f t="shared" si="7"/>
        <v>52434.695466072655</v>
      </c>
      <c r="E24" s="28">
        <f t="shared" si="7"/>
        <v>69912.927288096878</v>
      </c>
      <c r="F24" s="28">
        <f t="shared" si="7"/>
        <v>209738.78186429062</v>
      </c>
      <c r="G24" s="28">
        <f t="shared" si="7"/>
        <v>629216.34559287189</v>
      </c>
      <c r="H24" s="28">
        <f t="shared" si="7"/>
        <v>838955.12745716248</v>
      </c>
      <c r="I24" s="29">
        <f t="shared" si="7"/>
        <v>0.50332787410288149</v>
      </c>
    </row>
    <row r="25" spans="2:9" ht="22.5" customHeight="1">
      <c r="B25" s="30"/>
      <c r="C25" s="30"/>
      <c r="D25" s="30"/>
      <c r="E25" s="30"/>
      <c r="F25" s="30"/>
      <c r="G25" s="30"/>
      <c r="H25" s="30"/>
      <c r="I25" s="31"/>
    </row>
    <row r="26" spans="2:9" ht="27" customHeight="1">
      <c r="B26" s="193" t="str">
        <f>"BASE "&amp;B6</f>
        <v>BASE CASCAVEL</v>
      </c>
      <c r="C26" s="194" t="s">
        <v>23</v>
      </c>
      <c r="D26" s="194"/>
      <c r="E26" s="194"/>
      <c r="F26" s="194" t="s">
        <v>24</v>
      </c>
      <c r="G26" s="194"/>
      <c r="H26" s="194"/>
      <c r="I26" s="2" t="s">
        <v>25</v>
      </c>
    </row>
    <row r="27" spans="2:9" ht="22.5" customHeight="1">
      <c r="B27" s="193"/>
      <c r="C27" s="25" t="s">
        <v>26</v>
      </c>
      <c r="D27" s="25" t="s">
        <v>27</v>
      </c>
      <c r="E27" s="25" t="s">
        <v>28</v>
      </c>
      <c r="F27" s="26" t="s">
        <v>26</v>
      </c>
      <c r="G27" s="26" t="s">
        <v>27</v>
      </c>
      <c r="H27" s="26" t="s">
        <v>28</v>
      </c>
      <c r="I27" s="26" t="s">
        <v>29</v>
      </c>
    </row>
    <row r="28" spans="2:9" ht="16.5" customHeight="1">
      <c r="B28" s="16" t="str">
        <f>'Base Cascavel'!B7</f>
        <v>APS GOIOERÊ</v>
      </c>
      <c r="C28" s="18">
        <f>'Base Cascavel'!AO7</f>
        <v>1432.7299949695662</v>
      </c>
      <c r="D28" s="18">
        <f t="shared" ref="D28:D39" si="8">C28*3</f>
        <v>4298.1899849086985</v>
      </c>
      <c r="E28" s="18">
        <f t="shared" ref="E28:E39" si="9">C28+D28</f>
        <v>5730.9199798782647</v>
      </c>
      <c r="F28" s="18">
        <f t="shared" ref="F28:F39" si="10">C28*12</f>
        <v>17192.759939634794</v>
      </c>
      <c r="G28" s="18">
        <f t="shared" ref="G28:G39" si="11">F28*3</f>
        <v>51578.279818904382</v>
      </c>
      <c r="H28" s="18">
        <f t="shared" ref="H28:H39" si="12">F28+G28</f>
        <v>68771.039758539177</v>
      </c>
      <c r="I28" s="27">
        <f t="shared" ref="I28:I39" si="13">F28/$E$7</f>
        <v>4.1258918515016403E-2</v>
      </c>
    </row>
    <row r="29" spans="2:9" ht="16.5" customHeight="1">
      <c r="B29" s="16" t="str">
        <f>'Base Cascavel'!B8</f>
        <v>GEX CASCAVEL</v>
      </c>
      <c r="C29" s="18">
        <f>'Base Cascavel'!AO8</f>
        <v>1260.2090952304607</v>
      </c>
      <c r="D29" s="18">
        <f t="shared" si="8"/>
        <v>3780.627285691382</v>
      </c>
      <c r="E29" s="18">
        <f t="shared" si="9"/>
        <v>5040.8363809218426</v>
      </c>
      <c r="F29" s="18">
        <f t="shared" si="10"/>
        <v>15122.509142765528</v>
      </c>
      <c r="G29" s="18">
        <f t="shared" si="11"/>
        <v>45367.527428296584</v>
      </c>
      <c r="H29" s="18">
        <f t="shared" si="12"/>
        <v>60490.036571062112</v>
      </c>
      <c r="I29" s="27">
        <f t="shared" si="13"/>
        <v>3.6290762777742076E-2</v>
      </c>
    </row>
    <row r="30" spans="2:9" ht="16.5" customHeight="1">
      <c r="B30" s="16" t="str">
        <f>'Base Cascavel'!B9</f>
        <v>APS CASCAVEL</v>
      </c>
      <c r="C30" s="18">
        <f>'Base Cascavel'!AO9</f>
        <v>1968.5801333402412</v>
      </c>
      <c r="D30" s="18">
        <f t="shared" si="8"/>
        <v>5905.7404000207234</v>
      </c>
      <c r="E30" s="18">
        <f t="shared" si="9"/>
        <v>7874.3205333609649</v>
      </c>
      <c r="F30" s="18">
        <f t="shared" si="10"/>
        <v>23622.961600082894</v>
      </c>
      <c r="G30" s="18">
        <f t="shared" si="11"/>
        <v>70868.884800248677</v>
      </c>
      <c r="H30" s="18">
        <f t="shared" si="12"/>
        <v>94491.846400331575</v>
      </c>
      <c r="I30" s="27">
        <f t="shared" si="13"/>
        <v>5.66900166793049E-2</v>
      </c>
    </row>
    <row r="31" spans="2:9" ht="16.5" customHeight="1">
      <c r="B31" s="16" t="str">
        <f>'Base Cascavel'!B10</f>
        <v>APS TOLEDO</v>
      </c>
      <c r="C31" s="18">
        <f>'Base Cascavel'!AO10</f>
        <v>1608.4578483495472</v>
      </c>
      <c r="D31" s="18">
        <f t="shared" si="8"/>
        <v>4825.373545048642</v>
      </c>
      <c r="E31" s="18">
        <f t="shared" si="9"/>
        <v>6433.831393398189</v>
      </c>
      <c r="F31" s="18">
        <f t="shared" si="10"/>
        <v>19301.494180194568</v>
      </c>
      <c r="G31" s="18">
        <f t="shared" si="11"/>
        <v>57904.482540583704</v>
      </c>
      <c r="H31" s="18">
        <f t="shared" si="12"/>
        <v>77205.976720778272</v>
      </c>
      <c r="I31" s="27">
        <f t="shared" si="13"/>
        <v>4.6319426223293568E-2</v>
      </c>
    </row>
    <row r="32" spans="2:9" ht="16.5" customHeight="1">
      <c r="B32" s="16" t="str">
        <f>'Base Cascavel'!B11</f>
        <v>APS MARECHAL CÂNDIDO RONDON</v>
      </c>
      <c r="C32" s="18">
        <f>'Base Cascavel'!AO11</f>
        <v>1014.5117223083812</v>
      </c>
      <c r="D32" s="18">
        <f t="shared" si="8"/>
        <v>3043.5351669251436</v>
      </c>
      <c r="E32" s="18">
        <f t="shared" si="9"/>
        <v>4058.0468892335248</v>
      </c>
      <c r="F32" s="18">
        <f t="shared" si="10"/>
        <v>12174.140667700574</v>
      </c>
      <c r="G32" s="18">
        <f t="shared" si="11"/>
        <v>36522.422003101725</v>
      </c>
      <c r="H32" s="18">
        <f t="shared" si="12"/>
        <v>48696.562670802297</v>
      </c>
      <c r="I32" s="27">
        <f t="shared" si="13"/>
        <v>2.9215313862497577E-2</v>
      </c>
    </row>
    <row r="33" spans="2:9" ht="16.5" customHeight="1">
      <c r="B33" s="16" t="str">
        <f>'Base Cascavel'!B12</f>
        <v>APS ASSIS CHATEAUBRIAND</v>
      </c>
      <c r="C33" s="18">
        <f>'Base Cascavel'!AO12</f>
        <v>1142.6625678085379</v>
      </c>
      <c r="D33" s="18">
        <f t="shared" si="8"/>
        <v>3427.9877034256137</v>
      </c>
      <c r="E33" s="18">
        <f t="shared" si="9"/>
        <v>4570.6502712341517</v>
      </c>
      <c r="F33" s="18">
        <f t="shared" si="10"/>
        <v>13711.950813702455</v>
      </c>
      <c r="G33" s="18">
        <f t="shared" si="11"/>
        <v>41135.852441107367</v>
      </c>
      <c r="H33" s="18">
        <f t="shared" si="12"/>
        <v>54847.80325480982</v>
      </c>
      <c r="I33" s="27">
        <f t="shared" si="13"/>
        <v>3.2905726787951638E-2</v>
      </c>
    </row>
    <row r="34" spans="2:9" ht="16.5" customHeight="1">
      <c r="B34" s="16" t="str">
        <f>'Base Cascavel'!B13</f>
        <v>APS PALOTINA</v>
      </c>
      <c r="C34" s="18">
        <f>'Base Cascavel'!AO13</f>
        <v>1172.8503869365088</v>
      </c>
      <c r="D34" s="18">
        <f t="shared" si="8"/>
        <v>3518.5511608095267</v>
      </c>
      <c r="E34" s="18">
        <f t="shared" si="9"/>
        <v>4691.4015477460352</v>
      </c>
      <c r="F34" s="18">
        <f t="shared" si="10"/>
        <v>14074.204643238107</v>
      </c>
      <c r="G34" s="18">
        <f t="shared" si="11"/>
        <v>42222.613929714324</v>
      </c>
      <c r="H34" s="18">
        <f t="shared" si="12"/>
        <v>56296.818572952427</v>
      </c>
      <c r="I34" s="27">
        <f t="shared" si="13"/>
        <v>3.3775057906808729E-2</v>
      </c>
    </row>
    <row r="35" spans="2:9" ht="16.5" customHeight="1">
      <c r="B35" s="16" t="str">
        <f>'Base Cascavel'!B14</f>
        <v>APS GUAÍRA</v>
      </c>
      <c r="C35" s="18">
        <f>'Base Cascavel'!AO14</f>
        <v>1321.302036938233</v>
      </c>
      <c r="D35" s="18">
        <f t="shared" si="8"/>
        <v>3963.9061108146989</v>
      </c>
      <c r="E35" s="18">
        <f t="shared" si="9"/>
        <v>5285.2081477529318</v>
      </c>
      <c r="F35" s="18">
        <f t="shared" si="10"/>
        <v>15855.624443258796</v>
      </c>
      <c r="G35" s="18">
        <f t="shared" si="11"/>
        <v>47566.873329776383</v>
      </c>
      <c r="H35" s="18">
        <f t="shared" si="12"/>
        <v>63422.497773035182</v>
      </c>
      <c r="I35" s="27">
        <f t="shared" si="13"/>
        <v>3.8050081499771876E-2</v>
      </c>
    </row>
    <row r="36" spans="2:9" ht="16.5" customHeight="1">
      <c r="B36" s="16" t="str">
        <f>'Base Cascavel'!B15</f>
        <v>APS MEDIANEIRA</v>
      </c>
      <c r="C36" s="18">
        <f>'Base Cascavel'!AO15</f>
        <v>1324.9913363466496</v>
      </c>
      <c r="D36" s="18">
        <f t="shared" si="8"/>
        <v>3974.9740090399491</v>
      </c>
      <c r="E36" s="18">
        <f t="shared" si="9"/>
        <v>5299.9653453865985</v>
      </c>
      <c r="F36" s="18">
        <f t="shared" si="10"/>
        <v>15899.896036159796</v>
      </c>
      <c r="G36" s="18">
        <f t="shared" si="11"/>
        <v>47699.688108479386</v>
      </c>
      <c r="H36" s="18">
        <f t="shared" si="12"/>
        <v>63599.584144639186</v>
      </c>
      <c r="I36" s="27">
        <f t="shared" si="13"/>
        <v>3.8156323781432633E-2</v>
      </c>
    </row>
    <row r="37" spans="2:9" ht="16.5" customHeight="1">
      <c r="B37" s="16" t="str">
        <f>'Base Cascavel'!B16</f>
        <v>APS SÃO MIGUEL DO IGUAÇU</v>
      </c>
      <c r="C37" s="18">
        <f>'Base Cascavel'!AO16</f>
        <v>1050.854942254309</v>
      </c>
      <c r="D37" s="18">
        <f t="shared" si="8"/>
        <v>3152.5648267629267</v>
      </c>
      <c r="E37" s="18">
        <f t="shared" si="9"/>
        <v>4203.4197690172359</v>
      </c>
      <c r="F37" s="18">
        <f t="shared" si="10"/>
        <v>12610.259307051707</v>
      </c>
      <c r="G37" s="18">
        <f t="shared" si="11"/>
        <v>37830.777921155124</v>
      </c>
      <c r="H37" s="18">
        <f t="shared" si="12"/>
        <v>50441.037228206827</v>
      </c>
      <c r="I37" s="27">
        <f t="shared" si="13"/>
        <v>3.0261904605754963E-2</v>
      </c>
    </row>
    <row r="38" spans="2:9" ht="16.5" customHeight="1">
      <c r="B38" s="16" t="str">
        <f>'Base Cascavel'!B17</f>
        <v>APS FOZ DO IGUAÇU</v>
      </c>
      <c r="C38" s="18">
        <f>'Base Cascavel'!AO17</f>
        <v>2604.0197912823569</v>
      </c>
      <c r="D38" s="18">
        <f t="shared" si="8"/>
        <v>7812.0593738470707</v>
      </c>
      <c r="E38" s="18">
        <f t="shared" si="9"/>
        <v>10416.079165129428</v>
      </c>
      <c r="F38" s="18">
        <f t="shared" si="10"/>
        <v>31248.237495388283</v>
      </c>
      <c r="G38" s="18">
        <f t="shared" si="11"/>
        <v>93744.712486164848</v>
      </c>
      <c r="H38" s="18">
        <f t="shared" si="12"/>
        <v>124992.94998155313</v>
      </c>
      <c r="I38" s="27">
        <f t="shared" si="13"/>
        <v>7.4989035447876551E-2</v>
      </c>
    </row>
    <row r="39" spans="2:9" ht="16.5" customHeight="1">
      <c r="B39" s="16" t="str">
        <f>'Base Cascavel'!B18</f>
        <v>APS QUEDAS DO IGUAÇU</v>
      </c>
      <c r="C39" s="18">
        <f>'Base Cascavel'!AO18</f>
        <v>1345.938843391066</v>
      </c>
      <c r="D39" s="18">
        <f t="shared" si="8"/>
        <v>4037.8165301731979</v>
      </c>
      <c r="E39" s="18">
        <f t="shared" si="9"/>
        <v>5383.7553735642641</v>
      </c>
      <c r="F39" s="18">
        <f t="shared" si="10"/>
        <v>16151.266120692791</v>
      </c>
      <c r="G39" s="18">
        <f t="shared" si="11"/>
        <v>48453.798362078378</v>
      </c>
      <c r="H39" s="18">
        <f t="shared" si="12"/>
        <v>64605.064482771166</v>
      </c>
      <c r="I39" s="27">
        <f t="shared" si="13"/>
        <v>3.8759557809667423E-2</v>
      </c>
    </row>
    <row r="40" spans="2:9" ht="22.5" customHeight="1">
      <c r="B40" s="28" t="str">
        <f>"Total Base "&amp;B6</f>
        <v>Total Base CASCAVEL</v>
      </c>
      <c r="C40" s="28">
        <f t="shared" ref="C40:I40" si="14">SUM(C28:C39)</f>
        <v>17247.108699155855</v>
      </c>
      <c r="D40" s="28">
        <f t="shared" si="14"/>
        <v>51741.32609746758</v>
      </c>
      <c r="E40" s="28">
        <f t="shared" si="14"/>
        <v>68988.43479662342</v>
      </c>
      <c r="F40" s="28">
        <f t="shared" si="14"/>
        <v>206965.30438987032</v>
      </c>
      <c r="G40" s="28">
        <f t="shared" si="14"/>
        <v>620895.9131696109</v>
      </c>
      <c r="H40" s="28">
        <f t="shared" si="14"/>
        <v>827861.21755948127</v>
      </c>
      <c r="I40" s="29">
        <f t="shared" si="14"/>
        <v>0.49667212589711834</v>
      </c>
    </row>
  </sheetData>
  <mergeCells count="7">
    <mergeCell ref="B2:I2"/>
    <mergeCell ref="B9:B10"/>
    <mergeCell ref="C9:E9"/>
    <mergeCell ref="F9:H9"/>
    <mergeCell ref="B26:B27"/>
    <mergeCell ref="C26:E26"/>
    <mergeCell ref="F26:H26"/>
  </mergeCells>
  <printOptions horizontalCentered="1"/>
  <pageMargins left="0.15069444444444399" right="7.2916666666666699E-2" top="0.13750000000000001" bottom="8.2638888888888901E-2" header="0.511811023622047" footer="0.511811023622047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1:IW65527"/>
  <sheetViews>
    <sheetView showGridLines="0" zoomScale="110" zoomScaleNormal="110" workbookViewId="0">
      <selection activeCell="B10" sqref="B10"/>
    </sheetView>
  </sheetViews>
  <sheetFormatPr defaultColWidth="10.5" defaultRowHeight="14.25"/>
  <cols>
    <col min="1" max="1" width="5.625" customWidth="1"/>
    <col min="2" max="2" width="21.625" customWidth="1"/>
    <col min="3" max="5" width="14.625" style="3" customWidth="1"/>
    <col min="6" max="6" width="13.5" style="3" customWidth="1"/>
    <col min="7" max="7" width="12.5" style="3" customWidth="1"/>
    <col min="8" max="257" width="10.625" style="3" customWidth="1"/>
  </cols>
  <sheetData>
    <row r="1" spans="2:5" ht="15" customHeight="1"/>
    <row r="2" spans="2:5" ht="24.75" customHeight="1">
      <c r="B2" s="195" t="str">
        <f>"CÁLCULO DO CUSTO DA EQUIPE TÉCNICA PARA O "&amp;'Valor da Contratação'!B7&amp;""</f>
        <v>CÁLCULO DO CUSTO DA EQUIPE TÉCNICA PARA O POLO I</v>
      </c>
      <c r="C2" s="195"/>
      <c r="D2" s="195"/>
      <c r="E2" s="195"/>
    </row>
    <row r="3" spans="2:5" ht="15" customHeight="1">
      <c r="B3" s="32"/>
      <c r="C3" s="32"/>
      <c r="D3" s="32"/>
      <c r="E3" s="32"/>
    </row>
    <row r="4" spans="2:5" ht="45.75" customHeight="1">
      <c r="B4" s="196" t="s">
        <v>30</v>
      </c>
      <c r="C4" s="1" t="s">
        <v>31</v>
      </c>
      <c r="D4" s="1" t="s">
        <v>32</v>
      </c>
      <c r="E4" s="1" t="s">
        <v>33</v>
      </c>
    </row>
    <row r="5" spans="2:5" ht="19.5" customHeight="1">
      <c r="B5" s="196"/>
      <c r="C5" s="33">
        <v>130.72</v>
      </c>
      <c r="D5" s="33">
        <f>'Comp. Eng. Eletricista'!D11</f>
        <v>126.73901785449999</v>
      </c>
      <c r="E5" s="33">
        <v>42.76</v>
      </c>
    </row>
    <row r="6" spans="2:5" ht="19.5" customHeight="1">
      <c r="B6" s="34" t="s">
        <v>34</v>
      </c>
      <c r="C6" s="35">
        <v>80</v>
      </c>
      <c r="D6" s="35">
        <v>16</v>
      </c>
      <c r="E6" s="35">
        <v>80</v>
      </c>
    </row>
    <row r="7" spans="2:5" ht="19.5" customHeight="1">
      <c r="B7" s="34" t="s">
        <v>35</v>
      </c>
      <c r="C7" s="33">
        <f>C5*C6</f>
        <v>10457.6</v>
      </c>
      <c r="D7" s="33">
        <f>D5*D6</f>
        <v>2027.8242856719999</v>
      </c>
      <c r="E7" s="33">
        <f>E5*E6</f>
        <v>3420.7999999999997</v>
      </c>
    </row>
    <row r="8" spans="2:5" ht="19.5" customHeight="1">
      <c r="B8" s="34" t="s">
        <v>36</v>
      </c>
      <c r="C8" s="33">
        <f>C5*C6*12</f>
        <v>125491.20000000001</v>
      </c>
      <c r="D8" s="33">
        <f>D5*D6*12</f>
        <v>24333.891428063998</v>
      </c>
      <c r="E8" s="33">
        <f>E5*E6*12</f>
        <v>41049.599999999999</v>
      </c>
    </row>
    <row r="9" spans="2:5" ht="19.5" customHeight="1">
      <c r="B9" s="36" t="s">
        <v>37</v>
      </c>
      <c r="C9" s="37"/>
      <c r="D9" s="37"/>
      <c r="E9" s="37"/>
    </row>
    <row r="10" spans="2:5" ht="19.5" customHeight="1">
      <c r="C10" s="37"/>
      <c r="D10" s="37"/>
      <c r="E10" s="37"/>
    </row>
    <row r="11" spans="2:5" ht="19.5" customHeight="1">
      <c r="B11" s="196" t="s">
        <v>38</v>
      </c>
      <c r="C11" s="196"/>
      <c r="E11" s="37"/>
    </row>
    <row r="12" spans="2:5" ht="19.5" customHeight="1">
      <c r="B12" s="34" t="s">
        <v>39</v>
      </c>
      <c r="C12" s="33">
        <f>SUM(C7:E7)</f>
        <v>15906.224285672</v>
      </c>
      <c r="E12" s="37"/>
    </row>
    <row r="13" spans="2:5" ht="19.5" customHeight="1">
      <c r="B13" s="34" t="s">
        <v>40</v>
      </c>
      <c r="C13" s="33">
        <f>SUM(C8:E8)</f>
        <v>190874.69142806402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11023622047" footer="0.511811023622047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B1:IV25"/>
  <sheetViews>
    <sheetView showGridLines="0" zoomScale="110" zoomScaleNormal="110" workbookViewId="0">
      <selection activeCell="H22" sqref="H22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197" t="str">
        <f>"BASE "&amp;Resumo!B5&amp;" - PLANILHA DE FORMAÇÃO DE PREÇOS"</f>
        <v>BASE MARINGÁ - PLANILHA DE FORMAÇÃO DE PREÇOS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39"/>
      <c r="Q2" s="195" t="str">
        <f>"BASE "&amp;Resumo!B5&amp;" – PLANILHA DE DISTRIBUIÇÃO DE CUSTOS POR UNIDADE"</f>
        <v>BASE MARINGÁ – PLANILHA DE DISTRIBUIÇÃO DE CUSTOS POR UNIDADE</v>
      </c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40"/>
      <c r="AI2" s="198" t="str">
        <f>"BASE "&amp;Resumo!B5&amp;" – PLANILHA RESUMO DE CUSTOS DA BASE"</f>
        <v>BASE MARINGÁ – PLANILHA RESUMO DE CUSTOS DA BASE</v>
      </c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199" t="s">
        <v>41</v>
      </c>
      <c r="C4" s="199" t="s">
        <v>42</v>
      </c>
      <c r="D4" s="199"/>
      <c r="E4" s="199"/>
      <c r="F4" s="199"/>
      <c r="G4" s="199"/>
      <c r="H4" s="199" t="s">
        <v>43</v>
      </c>
      <c r="I4" s="199"/>
      <c r="J4" s="199"/>
      <c r="K4" s="199"/>
      <c r="L4" s="199"/>
      <c r="M4" s="199"/>
      <c r="N4" s="199"/>
      <c r="O4" s="199" t="s">
        <v>28</v>
      </c>
      <c r="P4" s="39"/>
      <c r="Q4" s="199" t="s">
        <v>44</v>
      </c>
      <c r="R4" s="200" t="s">
        <v>45</v>
      </c>
      <c r="S4" s="200"/>
      <c r="T4" s="200"/>
      <c r="U4" s="200"/>
      <c r="V4" s="200" t="s">
        <v>46</v>
      </c>
      <c r="W4" s="200"/>
      <c r="X4" s="200"/>
      <c r="Y4" s="200"/>
      <c r="Z4" s="200" t="s">
        <v>47</v>
      </c>
      <c r="AA4" s="200"/>
      <c r="AB4" s="200"/>
      <c r="AC4" s="200"/>
      <c r="AD4" s="200" t="s">
        <v>48</v>
      </c>
      <c r="AE4" s="200"/>
      <c r="AF4" s="200"/>
      <c r="AG4" s="200"/>
      <c r="AI4" s="199" t="s">
        <v>44</v>
      </c>
      <c r="AJ4" s="201" t="s">
        <v>49</v>
      </c>
      <c r="AK4" s="201"/>
      <c r="AL4" s="201"/>
      <c r="AM4" s="201"/>
      <c r="AN4" s="201"/>
      <c r="AO4" s="201" t="s">
        <v>50</v>
      </c>
      <c r="AP4" s="201"/>
      <c r="AQ4" s="201"/>
      <c r="AR4" s="42"/>
      <c r="AS4" s="201" t="str">
        <f>"Resumo de Custos da Base "&amp;Resumo!B5</f>
        <v>Resumo de Custos da Base MARINGÁ</v>
      </c>
      <c r="AT4" s="201"/>
      <c r="AU4" s="201"/>
      <c r="AV4" s="201"/>
      <c r="AW4" s="201"/>
    </row>
    <row r="5" spans="2:49" ht="39.75" customHeight="1">
      <c r="B5" s="199"/>
      <c r="C5" s="1" t="s">
        <v>28</v>
      </c>
      <c r="D5" s="1" t="s">
        <v>51</v>
      </c>
      <c r="E5" s="1" t="s">
        <v>52</v>
      </c>
      <c r="F5" s="1" t="s">
        <v>53</v>
      </c>
      <c r="G5" s="199" t="s">
        <v>54</v>
      </c>
      <c r="H5" s="1" t="s">
        <v>55</v>
      </c>
      <c r="I5" s="1" t="s">
        <v>56</v>
      </c>
      <c r="J5" s="1" t="s">
        <v>57</v>
      </c>
      <c r="K5" s="1" t="s">
        <v>58</v>
      </c>
      <c r="L5" s="1" t="s">
        <v>59</v>
      </c>
      <c r="M5" s="1" t="s">
        <v>60</v>
      </c>
      <c r="N5" s="199" t="s">
        <v>61</v>
      </c>
      <c r="O5" s="199"/>
      <c r="P5" s="39"/>
      <c r="Q5" s="199"/>
      <c r="R5" s="1" t="s">
        <v>62</v>
      </c>
      <c r="S5" s="1" t="s">
        <v>63</v>
      </c>
      <c r="T5" s="1" t="s">
        <v>64</v>
      </c>
      <c r="U5" s="1" t="s">
        <v>65</v>
      </c>
      <c r="V5" s="199" t="s">
        <v>66</v>
      </c>
      <c r="W5" s="199" t="s">
        <v>67</v>
      </c>
      <c r="X5" s="199" t="s">
        <v>68</v>
      </c>
      <c r="Y5" s="199" t="s">
        <v>69</v>
      </c>
      <c r="Z5" s="199" t="s">
        <v>70</v>
      </c>
      <c r="AA5" s="199"/>
      <c r="AB5" s="199"/>
      <c r="AC5" s="1">
        <f>N20+'Base Cascavel'!N19</f>
        <v>1028.6499999999999</v>
      </c>
      <c r="AD5" s="200" t="s">
        <v>62</v>
      </c>
      <c r="AE5" s="200" t="s">
        <v>63</v>
      </c>
      <c r="AF5" s="200" t="s">
        <v>64</v>
      </c>
      <c r="AG5" s="200" t="s">
        <v>65</v>
      </c>
      <c r="AI5" s="199"/>
      <c r="AJ5" s="200" t="s">
        <v>71</v>
      </c>
      <c r="AK5" s="200" t="s">
        <v>62</v>
      </c>
      <c r="AL5" s="200" t="s">
        <v>63</v>
      </c>
      <c r="AM5" s="200" t="s">
        <v>64</v>
      </c>
      <c r="AN5" s="200" t="s">
        <v>65</v>
      </c>
      <c r="AO5" s="200" t="s">
        <v>72</v>
      </c>
      <c r="AP5" s="203" t="s">
        <v>73</v>
      </c>
      <c r="AQ5" s="200" t="s">
        <v>74</v>
      </c>
      <c r="AR5" s="40"/>
      <c r="AS5" s="200" t="s">
        <v>75</v>
      </c>
      <c r="AT5" s="41" t="s">
        <v>62</v>
      </c>
      <c r="AU5" s="41" t="s">
        <v>63</v>
      </c>
      <c r="AV5" s="41" t="s">
        <v>64</v>
      </c>
      <c r="AW5" s="41" t="s">
        <v>65</v>
      </c>
    </row>
    <row r="6" spans="2:49" ht="19.5" customHeight="1">
      <c r="B6" s="199"/>
      <c r="C6" s="43" t="s">
        <v>76</v>
      </c>
      <c r="D6" s="43">
        <v>1</v>
      </c>
      <c r="E6" s="43">
        <v>0.35</v>
      </c>
      <c r="F6" s="43">
        <v>0.1</v>
      </c>
      <c r="G6" s="199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199"/>
      <c r="O6" s="199"/>
      <c r="P6" s="44"/>
      <c r="Q6" s="199"/>
      <c r="R6" s="43" t="s">
        <v>77</v>
      </c>
      <c r="S6" s="43" t="s">
        <v>78</v>
      </c>
      <c r="T6" s="43" t="s">
        <v>79</v>
      </c>
      <c r="U6" s="43" t="s">
        <v>80</v>
      </c>
      <c r="V6" s="199"/>
      <c r="W6" s="199"/>
      <c r="X6" s="199"/>
      <c r="Y6" s="199"/>
      <c r="Z6" s="26" t="s">
        <v>62</v>
      </c>
      <c r="AA6" s="26" t="s">
        <v>63</v>
      </c>
      <c r="AB6" s="26" t="s">
        <v>64</v>
      </c>
      <c r="AC6" s="26" t="s">
        <v>65</v>
      </c>
      <c r="AD6" s="200"/>
      <c r="AE6" s="200"/>
      <c r="AF6" s="200"/>
      <c r="AG6" s="200"/>
      <c r="AI6" s="199"/>
      <c r="AJ6" s="200"/>
      <c r="AK6" s="200"/>
      <c r="AL6" s="200"/>
      <c r="AM6" s="200"/>
      <c r="AN6" s="200"/>
      <c r="AO6" s="200"/>
      <c r="AP6" s="204"/>
      <c r="AQ6" s="200"/>
      <c r="AR6" s="45"/>
      <c r="AS6" s="200"/>
      <c r="AT6" s="26" t="s">
        <v>77</v>
      </c>
      <c r="AU6" s="26" t="s">
        <v>78</v>
      </c>
      <c r="AV6" s="26" t="s">
        <v>79</v>
      </c>
      <c r="AW6" s="26" t="s">
        <v>80</v>
      </c>
    </row>
    <row r="7" spans="2:49" s="3" customFormat="1" ht="15" customHeight="1">
      <c r="B7" s="165" t="s">
        <v>81</v>
      </c>
      <c r="C7" s="47">
        <f>VLOOKUP($B7,Unidades!$D$5:$N$29,6,FALSE())</f>
        <v>334.4</v>
      </c>
      <c r="D7" s="47">
        <f>VLOOKUP($B7,Unidades!$D$5:$N$29,7,FALSE())</f>
        <v>296</v>
      </c>
      <c r="E7" s="47">
        <f>VLOOKUP($B7,Unidades!$D$5:$N$29,8,FALSE())</f>
        <v>38.4</v>
      </c>
      <c r="F7" s="47">
        <f>VLOOKUP($B7,Unidades!$D$5:$N$29,9,FALSE())</f>
        <v>0</v>
      </c>
      <c r="G7" s="47">
        <f t="shared" ref="G7:G19" si="0">D7+E7*$E$6+F7*$F$6</f>
        <v>309.44</v>
      </c>
      <c r="H7" s="48">
        <f t="shared" ref="H7:H19" si="1">IF(G7&lt;750,1.5,IF(G7&lt;2000,2,IF(G7&lt;4000,3,12)))</f>
        <v>1.5</v>
      </c>
      <c r="I7" s="48">
        <f t="shared" ref="I7:I19" si="2">$I$6*H7</f>
        <v>1.7999999999999998</v>
      </c>
      <c r="J7" s="48" t="str">
        <f>VLOOKUP($B7,Unidades!$D$5:$N$29,10,FALSE())</f>
        <v>NÃO</v>
      </c>
      <c r="K7" s="48" t="str">
        <f>VLOOKUP($B7,Unidades!$D$5:$N$29,11,FALSE())</f>
        <v>NÃO</v>
      </c>
      <c r="L7" s="48">
        <f t="shared" ref="L7:L19" si="3">$L$6*H7+(IF(J7="SIM",$J$6,0))</f>
        <v>1.6500000000000001</v>
      </c>
      <c r="M7" s="48">
        <f t="shared" ref="M7:M19" si="4">$M$6*H7+(IF(J7="SIM",$J$6,0))+(IF(K7="SIM",$K$6,0))</f>
        <v>1.6500000000000001</v>
      </c>
      <c r="N7" s="48">
        <f t="shared" ref="N7:N19" si="5">H7*12+I7*4+L7*2+M7</f>
        <v>30.15</v>
      </c>
      <c r="O7" s="49">
        <f t="shared" ref="O7:O19" si="6">IF(K7="não", N7*(C$23+D$23),N7*(C$23+D$23)+(M7*+E$23))</f>
        <v>1881.6794392499999</v>
      </c>
      <c r="P7" s="50"/>
      <c r="Q7" s="16" t="str">
        <f t="shared" ref="Q7:Q19" si="7">B7</f>
        <v>APS ASTORGA</v>
      </c>
      <c r="R7" s="18">
        <f t="shared" ref="R7:R19" si="8">H7*($C$23+$D$23)</f>
        <v>93.615892500000001</v>
      </c>
      <c r="S7" s="18">
        <f t="shared" ref="S7:S19" si="9">I7*($C$23+$D$23)</f>
        <v>112.33907099999999</v>
      </c>
      <c r="T7" s="18">
        <f t="shared" ref="T7:T19" si="10">L7*($C$23+$D$23)</f>
        <v>102.97748175000001</v>
      </c>
      <c r="U7" s="18">
        <f t="shared" ref="U7:U19" si="11">IF(K7="não",M7*($C$23+$D$23),M7*(C$23+D$23+E$23))</f>
        <v>102.97748175000001</v>
      </c>
      <c r="V7" s="18">
        <f>VLOOKUP(Q7,'Desl. Base Maringá'!$C$5:$S$17,13,FALSE())*($C$23+$D$23+$E$23*(VLOOKUP(Q7,'Desl. Base Maringá'!$C$5:$S$17,17,FALSE())/12))</f>
        <v>121.70066025</v>
      </c>
      <c r="W7" s="18">
        <f>VLOOKUP(Q7,'Desl. Base Maringá'!$C$5:$S$17,15,FALSE())*(2+(VLOOKUP(Q7,'Desl. Base Maringá'!$C$5:$S$17,17,FALSE())/12))</f>
        <v>0</v>
      </c>
      <c r="X7" s="18">
        <f>VLOOKUP(Q7,'Desl. Base Maringá'!$C$5:$Q$19,14,FALSE())</f>
        <v>0</v>
      </c>
      <c r="Y7" s="18">
        <f>VLOOKUP(Q7,'Desl. Base Maringá'!$C$5:$Q$17,13,FALSE())*'Desl. Base Maringá'!$E$22+'Desl. Base Maringá'!$E$23*N7/12</f>
        <v>127.75575000000001</v>
      </c>
      <c r="Z7" s="18">
        <f>(H7/$AC$5)*'Equipe Técnica'!$C$13</f>
        <v>278.33766309444036</v>
      </c>
      <c r="AA7" s="18">
        <f>(I7/$AC$5)*'Equipe Técnica'!$C$13</f>
        <v>334.00519571332842</v>
      </c>
      <c r="AB7" s="18">
        <f>(L7/$AC$5)*'Equipe Técnica'!$C$13</f>
        <v>306.17142940388442</v>
      </c>
      <c r="AC7" s="18">
        <f>(M7/$AC$5)*'Equipe Técnica'!$C$13</f>
        <v>306.17142940388442</v>
      </c>
      <c r="AD7" s="18">
        <f t="shared" ref="AD7:AD19" si="12">R7+(($V7+$W7+$X7+$Y7)*12/19)+$Z7</f>
        <v>529.50497259444035</v>
      </c>
      <c r="AE7" s="18">
        <f t="shared" ref="AE7:AE19" si="13">S7+(($V7+$W7+$X7+$Y7)*12/19)+$AA7</f>
        <v>603.89568371332848</v>
      </c>
      <c r="AF7" s="18">
        <f t="shared" ref="AF7:AF19" si="14">T7+(($V7+$W7+$X7+$Y7)*12/19)+$AB7</f>
        <v>566.70032815388447</v>
      </c>
      <c r="AG7" s="18">
        <f t="shared" ref="AG7:AG19" si="15">U7+(($V7+$W7+$X7+$Y7)*12/19)+$AC7</f>
        <v>566.70032815388447</v>
      </c>
      <c r="AI7" s="16" t="str">
        <f t="shared" ref="AI7:AI19" si="16">B7</f>
        <v>APS ASTORGA</v>
      </c>
      <c r="AJ7" s="51">
        <f>VLOOKUP(AI7,Unidades!D$5:H$29,5,)</f>
        <v>0.28489999999999999</v>
      </c>
      <c r="AK7" s="33">
        <f t="shared" ref="AK7:AK19" si="17">AD7*(1+$AJ7)</f>
        <v>680.36093928659636</v>
      </c>
      <c r="AL7" s="33">
        <f t="shared" ref="AL7:AL19" si="18">AE7*(1+$AJ7)</f>
        <v>775.94556400325575</v>
      </c>
      <c r="AM7" s="33">
        <f t="shared" ref="AM7:AM19" si="19">AF7*(1+$AJ7)</f>
        <v>728.15325164492617</v>
      </c>
      <c r="AN7" s="33">
        <f t="shared" ref="AN7:AN19" si="20">AG7*(1+$AJ7)</f>
        <v>728.15325164492617</v>
      </c>
      <c r="AO7" s="33">
        <f t="shared" ref="AO7:AO19" si="21">((AK7*12)+(AL7*4)+(AM7*2)+AN7)/12</f>
        <v>1121.0477735322463</v>
      </c>
      <c r="AP7" s="33">
        <f>AO7*3</f>
        <v>3363.1433205967387</v>
      </c>
      <c r="AQ7" s="33">
        <f t="shared" ref="AQ7:AQ19" si="22">AO7+AP7</f>
        <v>4484.1910941289852</v>
      </c>
      <c r="AR7" s="52"/>
      <c r="AS7" s="53" t="s">
        <v>82</v>
      </c>
      <c r="AT7" s="33">
        <f>AK20</f>
        <v>9739.0381888646716</v>
      </c>
      <c r="AU7" s="33">
        <f>AL20</f>
        <v>11272.825870713905</v>
      </c>
      <c r="AV7" s="33">
        <f>AM20</f>
        <v>13069.535122560996</v>
      </c>
      <c r="AW7" s="33">
        <f>AN20</f>
        <v>21639.949869936983</v>
      </c>
    </row>
    <row r="8" spans="2:49" s="3" customFormat="1" ht="15" customHeight="1">
      <c r="B8" s="165" t="s">
        <v>83</v>
      </c>
      <c r="C8" s="47">
        <f>VLOOKUP($B8,Unidades!$D$5:$N$29,6,FALSE())</f>
        <v>2272.1799999999998</v>
      </c>
      <c r="D8" s="47">
        <f>VLOOKUP($B8,Unidades!$D$5:$N$29,7,FALSE())</f>
        <v>1403.37</v>
      </c>
      <c r="E8" s="47">
        <f>VLOOKUP($B8,Unidades!$D$5:$N$29,8,FALSE())</f>
        <v>651.61</v>
      </c>
      <c r="F8" s="47">
        <f>VLOOKUP($B8,Unidades!$D$5:$N$29,9,FALSE())</f>
        <v>217.2</v>
      </c>
      <c r="G8" s="47">
        <f t="shared" si="0"/>
        <v>1653.1534999999999</v>
      </c>
      <c r="H8" s="48">
        <f t="shared" si="1"/>
        <v>2</v>
      </c>
      <c r="I8" s="48">
        <f t="shared" si="2"/>
        <v>2.4</v>
      </c>
      <c r="J8" s="48" t="str">
        <f>VLOOKUP($B8,Unidades!$D$5:$N$29,10,FALSE())</f>
        <v>SIM</v>
      </c>
      <c r="K8" s="48" t="str">
        <f>VLOOKUP($B8,Unidades!$D$5:$N$29,11,FALSE())</f>
        <v>SIM</v>
      </c>
      <c r="L8" s="48">
        <f t="shared" si="3"/>
        <v>4.2</v>
      </c>
      <c r="M8" s="48">
        <f t="shared" si="4"/>
        <v>8.1999999999999993</v>
      </c>
      <c r="N8" s="48">
        <f t="shared" si="5"/>
        <v>50.2</v>
      </c>
      <c r="O8" s="49">
        <f t="shared" si="6"/>
        <v>3466.4238690000002</v>
      </c>
      <c r="P8" s="50"/>
      <c r="Q8" s="16" t="str">
        <f t="shared" si="7"/>
        <v>APS CAMPO MOURÃO</v>
      </c>
      <c r="R8" s="18">
        <f t="shared" si="8"/>
        <v>124.82119</v>
      </c>
      <c r="S8" s="18">
        <f t="shared" si="9"/>
        <v>149.785428</v>
      </c>
      <c r="T8" s="18">
        <f t="shared" si="10"/>
        <v>262.12449900000001</v>
      </c>
      <c r="U8" s="18">
        <f t="shared" si="11"/>
        <v>845.17887899999994</v>
      </c>
      <c r="V8" s="18">
        <f>VLOOKUP(Q8,'Desl. Base Maringá'!$C$5:$S$17,13,FALSE())*($C$23+$D$23+$E$23*(VLOOKUP(Q8,'Desl. Base Maringá'!$C$5:$S$17,17,FALSE())/12))</f>
        <v>171.07721366666669</v>
      </c>
      <c r="W8" s="18">
        <f>VLOOKUP(Q8,'Desl. Base Maringá'!$C$5:$S$17,15,FALSE())*(2+(VLOOKUP(Q8,'Desl. Base Maringá'!$C$5:$S$17,17,FALSE())/12))</f>
        <v>0</v>
      </c>
      <c r="X8" s="18">
        <f>VLOOKUP(Q8,'Desl. Base Maringá'!$C$5:$Q$19,14,FALSE())</f>
        <v>0</v>
      </c>
      <c r="Y8" s="18">
        <f>VLOOKUP(Q8,'Desl. Base Maringá'!$C$5:$Q$17,13,FALSE())*'Desl. Base Maringá'!$E$22+'Desl. Base Maringá'!$E$23*N8/12</f>
        <v>175.99100000000001</v>
      </c>
      <c r="Z8" s="18">
        <f>(H8/$AC$5)*'Equipe Técnica'!$C$13</f>
        <v>371.11688412592048</v>
      </c>
      <c r="AA8" s="18">
        <f>(I8/$AC$5)*'Equipe Técnica'!$C$13</f>
        <v>445.34026095110454</v>
      </c>
      <c r="AB8" s="18">
        <f>(L8/$AC$5)*'Equipe Técnica'!$C$13</f>
        <v>779.34545666443296</v>
      </c>
      <c r="AC8" s="18">
        <f>(M8/$AC$5)*'Equipe Técnica'!$C$13</f>
        <v>1521.5792249162737</v>
      </c>
      <c r="AD8" s="18">
        <f t="shared" si="12"/>
        <v>715.13905117855211</v>
      </c>
      <c r="AE8" s="18">
        <f t="shared" si="13"/>
        <v>814.32666600373614</v>
      </c>
      <c r="AF8" s="18">
        <f t="shared" si="14"/>
        <v>1260.6709327170647</v>
      </c>
      <c r="AG8" s="18">
        <f t="shared" si="15"/>
        <v>2585.9590809689053</v>
      </c>
      <c r="AI8" s="16" t="str">
        <f t="shared" si="16"/>
        <v>APS CAMPO MOURÃO</v>
      </c>
      <c r="AJ8" s="51">
        <f>VLOOKUP(AI8,Unidades!D$5:H$29,5,)</f>
        <v>0.31419999999999998</v>
      </c>
      <c r="AK8" s="33">
        <f t="shared" si="17"/>
        <v>939.83574105885316</v>
      </c>
      <c r="AL8" s="33">
        <f t="shared" si="18"/>
        <v>1070.18810446211</v>
      </c>
      <c r="AM8" s="33">
        <f t="shared" si="19"/>
        <v>1656.7737397767664</v>
      </c>
      <c r="AN8" s="33">
        <f t="shared" si="20"/>
        <v>3398.4674242093351</v>
      </c>
      <c r="AO8" s="33">
        <f t="shared" si="21"/>
        <v>1855.8996845264621</v>
      </c>
      <c r="AP8" s="33">
        <f t="shared" ref="AP8:AP19" si="23">AO8*3</f>
        <v>5567.6990535793866</v>
      </c>
      <c r="AQ8" s="33">
        <f t="shared" si="22"/>
        <v>7423.5987381058485</v>
      </c>
      <c r="AR8" s="52"/>
      <c r="AS8" s="53" t="s">
        <v>84</v>
      </c>
      <c r="AT8" s="33">
        <f>AT7*12</f>
        <v>116868.45826637605</v>
      </c>
      <c r="AU8" s="33">
        <f>AU7*4</f>
        <v>45091.303482855619</v>
      </c>
      <c r="AV8" s="33">
        <f>AV7*2</f>
        <v>26139.070245121991</v>
      </c>
      <c r="AW8" s="33">
        <f>AW7</f>
        <v>21639.949869936983</v>
      </c>
    </row>
    <row r="9" spans="2:49" s="3" customFormat="1" ht="15" customHeight="1">
      <c r="B9" s="165" t="s">
        <v>85</v>
      </c>
      <c r="C9" s="47">
        <f>VLOOKUP($B9,Unidades!$D$5:$N$29,6,FALSE())</f>
        <v>948.9</v>
      </c>
      <c r="D9" s="47">
        <f>VLOOKUP($B9,Unidades!$D$5:$N$29,7,FALSE())</f>
        <v>585</v>
      </c>
      <c r="E9" s="47">
        <f>VLOOKUP($B9,Unidades!$D$5:$N$29,8,FALSE())</f>
        <v>363.9</v>
      </c>
      <c r="F9" s="47">
        <f>VLOOKUP($B9,Unidades!$D$5:$N$29,9,FALSE())</f>
        <v>0</v>
      </c>
      <c r="G9" s="47">
        <f t="shared" si="0"/>
        <v>712.36500000000001</v>
      </c>
      <c r="H9" s="48">
        <f t="shared" si="1"/>
        <v>1.5</v>
      </c>
      <c r="I9" s="48">
        <f t="shared" si="2"/>
        <v>1.7999999999999998</v>
      </c>
      <c r="J9" s="48" t="str">
        <f>VLOOKUP($B9,Unidades!$D$5:$N$29,10,FALSE())</f>
        <v>NÃO</v>
      </c>
      <c r="K9" s="48" t="str">
        <f>VLOOKUP($B9,Unidades!$D$5:$N$29,11,FALSE())</f>
        <v>NÃO</v>
      </c>
      <c r="L9" s="48">
        <f t="shared" si="3"/>
        <v>1.6500000000000001</v>
      </c>
      <c r="M9" s="48">
        <f t="shared" si="4"/>
        <v>1.6500000000000001</v>
      </c>
      <c r="N9" s="48">
        <f t="shared" si="5"/>
        <v>30.15</v>
      </c>
      <c r="O9" s="49">
        <f t="shared" si="6"/>
        <v>1881.6794392499999</v>
      </c>
      <c r="P9" s="50"/>
      <c r="Q9" s="16" t="str">
        <f t="shared" si="7"/>
        <v>APS CIANORTE</v>
      </c>
      <c r="R9" s="18">
        <f t="shared" si="8"/>
        <v>93.615892500000001</v>
      </c>
      <c r="S9" s="18">
        <f t="shared" si="9"/>
        <v>112.33907099999999</v>
      </c>
      <c r="T9" s="18">
        <f t="shared" si="10"/>
        <v>102.97748175000001</v>
      </c>
      <c r="U9" s="18">
        <f t="shared" si="11"/>
        <v>102.97748175000001</v>
      </c>
      <c r="V9" s="18">
        <f>VLOOKUP(Q9,'Desl. Base Maringá'!$C$5:$S$17,13,FALSE())*($C$23+$D$23+$E$23*(VLOOKUP(Q9,'Desl. Base Maringá'!$C$5:$S$17,17,FALSE())/12))</f>
        <v>79.573508625000002</v>
      </c>
      <c r="W9" s="18">
        <f>VLOOKUP(Q9,'Desl. Base Maringá'!$C$5:$S$17,15,FALSE())*(2+(VLOOKUP(Q9,'Desl. Base Maringá'!$C$5:$S$17,17,FALSE())/12))</f>
        <v>0</v>
      </c>
      <c r="X9" s="18">
        <f>VLOOKUP(Q9,'Desl. Base Maringá'!$C$5:$Q$19,14,FALSE())</f>
        <v>0</v>
      </c>
      <c r="Y9" s="18">
        <f>VLOOKUP(Q9,'Desl. Base Maringá'!$C$5:$Q$17,13,FALSE())*'Desl. Base Maringá'!$E$22+'Desl. Base Maringá'!$E$23*N9/12</f>
        <v>89.429249999999996</v>
      </c>
      <c r="Z9" s="18">
        <f>(H9/$AC$5)*'Equipe Técnica'!$C$13</f>
        <v>278.33766309444036</v>
      </c>
      <c r="AA9" s="18">
        <f>(I9/$AC$5)*'Equipe Técnica'!$C$13</f>
        <v>334.00519571332842</v>
      </c>
      <c r="AB9" s="18">
        <f>(L9/$AC$5)*'Equipe Técnica'!$C$13</f>
        <v>306.17142940388442</v>
      </c>
      <c r="AC9" s="18">
        <f>(M9/$AC$5)*'Equipe Técnica'!$C$13</f>
        <v>306.17142940388442</v>
      </c>
      <c r="AD9" s="18">
        <f t="shared" si="12"/>
        <v>478.69213998917724</v>
      </c>
      <c r="AE9" s="18">
        <f t="shared" si="13"/>
        <v>553.08285110806526</v>
      </c>
      <c r="AF9" s="18">
        <f t="shared" si="14"/>
        <v>515.88749554862125</v>
      </c>
      <c r="AG9" s="18">
        <f t="shared" si="15"/>
        <v>515.88749554862125</v>
      </c>
      <c r="AI9" s="16" t="str">
        <f t="shared" si="16"/>
        <v>APS CIANORTE</v>
      </c>
      <c r="AJ9" s="51">
        <f>VLOOKUP(AI9,Unidades!D$5:H$29,5,)</f>
        <v>0.28489999999999999</v>
      </c>
      <c r="AK9" s="33">
        <f t="shared" si="17"/>
        <v>615.07153067209379</v>
      </c>
      <c r="AL9" s="33">
        <f t="shared" si="18"/>
        <v>710.65615538875306</v>
      </c>
      <c r="AM9" s="33">
        <f t="shared" si="19"/>
        <v>662.86384303042337</v>
      </c>
      <c r="AN9" s="33">
        <f t="shared" si="20"/>
        <v>662.86384303042337</v>
      </c>
      <c r="AO9" s="33">
        <f t="shared" si="21"/>
        <v>1017.672876559284</v>
      </c>
      <c r="AP9" s="33">
        <f t="shared" si="23"/>
        <v>3053.018629677852</v>
      </c>
      <c r="AQ9" s="33">
        <f t="shared" si="22"/>
        <v>4070.6915062371359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5" t="s">
        <v>86</v>
      </c>
      <c r="C10" s="47">
        <f>VLOOKUP($B10,Unidades!$D$5:$N$29,6,FALSE())</f>
        <v>334.4</v>
      </c>
      <c r="D10" s="47">
        <f>VLOOKUP($B10,Unidades!$D$5:$N$29,7,FALSE())</f>
        <v>296</v>
      </c>
      <c r="E10" s="47">
        <f>VLOOKUP($B10,Unidades!$D$5:$N$29,8,FALSE())</f>
        <v>38.4</v>
      </c>
      <c r="F10" s="47">
        <f>VLOOKUP($B10,Unidades!$D$5:$N$29,9,FALSE())</f>
        <v>0</v>
      </c>
      <c r="G10" s="47">
        <f t="shared" si="0"/>
        <v>309.44</v>
      </c>
      <c r="H10" s="48">
        <f t="shared" si="1"/>
        <v>1.5</v>
      </c>
      <c r="I10" s="48">
        <f t="shared" si="2"/>
        <v>1.7999999999999998</v>
      </c>
      <c r="J10" s="48" t="str">
        <f>VLOOKUP($B10,Unidades!$D$5:$N$29,10,FALSE())</f>
        <v>NÃO</v>
      </c>
      <c r="K10" s="48" t="str">
        <f>VLOOKUP($B10,Unidades!$D$5:$N$29,11,FALSE())</f>
        <v>NÃO</v>
      </c>
      <c r="L10" s="48">
        <f t="shared" si="3"/>
        <v>1.6500000000000001</v>
      </c>
      <c r="M10" s="48">
        <f t="shared" si="4"/>
        <v>1.6500000000000001</v>
      </c>
      <c r="N10" s="48">
        <f t="shared" si="5"/>
        <v>30.15</v>
      </c>
      <c r="O10" s="49">
        <f t="shared" si="6"/>
        <v>1881.6794392499999</v>
      </c>
      <c r="P10" s="50"/>
      <c r="Q10" s="16" t="str">
        <f t="shared" si="7"/>
        <v>APS COLORADO</v>
      </c>
      <c r="R10" s="18">
        <f t="shared" si="8"/>
        <v>93.615892500000001</v>
      </c>
      <c r="S10" s="18">
        <f t="shared" si="9"/>
        <v>112.33907099999999</v>
      </c>
      <c r="T10" s="18">
        <f t="shared" si="10"/>
        <v>102.97748175000001</v>
      </c>
      <c r="U10" s="18">
        <f t="shared" si="11"/>
        <v>102.97748175000001</v>
      </c>
      <c r="V10" s="18">
        <f>VLOOKUP(Q10,'Desl. Base Maringá'!$C$5:$S$17,13,FALSE())*($C$23+$D$23+$E$23*(VLOOKUP(Q10,'Desl. Base Maringá'!$C$5:$S$17,17,FALSE())/12))</f>
        <v>86.854744708333328</v>
      </c>
      <c r="W10" s="18">
        <f>VLOOKUP(Q10,'Desl. Base Maringá'!$C$5:$S$17,15,FALSE())*(2+(VLOOKUP(Q10,'Desl. Base Maringá'!$C$5:$S$17,17,FALSE())/12))</f>
        <v>0</v>
      </c>
      <c r="X10" s="18">
        <f>VLOOKUP(Q10,'Desl. Base Maringá'!$C$5:$Q$19,14,FALSE())</f>
        <v>0</v>
      </c>
      <c r="Y10" s="18">
        <f>VLOOKUP(Q10,'Desl. Base Maringá'!$C$5:$Q$17,13,FALSE())*'Desl. Base Maringá'!$E$22+'Desl. Base Maringá'!$E$23*N10/12</f>
        <v>96.053583333333336</v>
      </c>
      <c r="Z10" s="18">
        <f>(H10/$AC$5)*'Equipe Técnica'!$C$13</f>
        <v>278.33766309444036</v>
      </c>
      <c r="AA10" s="18">
        <f>(I10/$AC$5)*'Equipe Técnica'!$C$13</f>
        <v>334.00519571332842</v>
      </c>
      <c r="AB10" s="18">
        <f>(L10/$AC$5)*'Equipe Técnica'!$C$13</f>
        <v>306.17142940388442</v>
      </c>
      <c r="AC10" s="18">
        <f>(M10/$AC$5)*'Equipe Técnica'!$C$13</f>
        <v>306.17142940388442</v>
      </c>
      <c r="AD10" s="18">
        <f t="shared" si="12"/>
        <v>487.47460488391403</v>
      </c>
      <c r="AE10" s="18">
        <f t="shared" si="13"/>
        <v>561.86531600280205</v>
      </c>
      <c r="AF10" s="18">
        <f t="shared" si="14"/>
        <v>524.66996044335815</v>
      </c>
      <c r="AG10" s="18">
        <f t="shared" si="15"/>
        <v>524.66996044335815</v>
      </c>
      <c r="AI10" s="16" t="str">
        <f t="shared" si="16"/>
        <v>APS COLORADO</v>
      </c>
      <c r="AJ10" s="51">
        <f>VLOOKUP(AI10,Unidades!D$5:H$29,5,)</f>
        <v>0.28489999999999999</v>
      </c>
      <c r="AK10" s="33">
        <f t="shared" si="17"/>
        <v>626.35611981534112</v>
      </c>
      <c r="AL10" s="33">
        <f t="shared" si="18"/>
        <v>721.94074453200028</v>
      </c>
      <c r="AM10" s="33">
        <f t="shared" si="19"/>
        <v>674.14843217367081</v>
      </c>
      <c r="AN10" s="33">
        <f t="shared" si="20"/>
        <v>674.14843217367081</v>
      </c>
      <c r="AO10" s="33">
        <f t="shared" si="21"/>
        <v>1035.5401427027589</v>
      </c>
      <c r="AP10" s="33">
        <f t="shared" si="23"/>
        <v>3106.6204281082764</v>
      </c>
      <c r="AQ10" s="33">
        <f t="shared" si="22"/>
        <v>4142.1605708110355</v>
      </c>
      <c r="AR10" s="52"/>
      <c r="AS10" s="55" t="s">
        <v>72</v>
      </c>
      <c r="AT10" s="202">
        <f>(SUM(AT8:AW8))/12</f>
        <v>17478.23182202422</v>
      </c>
      <c r="AU10" s="202"/>
      <c r="AV10" s="54"/>
      <c r="AW10" s="54"/>
    </row>
    <row r="11" spans="2:49" s="3" customFormat="1" ht="15" customHeight="1">
      <c r="B11" s="165" t="s">
        <v>87</v>
      </c>
      <c r="C11" s="47">
        <f>VLOOKUP($B11,Unidades!$D$5:$N$29,6,FALSE())</f>
        <v>334.4</v>
      </c>
      <c r="D11" s="47">
        <f>VLOOKUP($B11,Unidades!$D$5:$N$29,7,FALSE())</f>
        <v>296</v>
      </c>
      <c r="E11" s="47">
        <f>VLOOKUP($B11,Unidades!$D$5:$N$29,8,FALSE())</f>
        <v>38.4</v>
      </c>
      <c r="F11" s="47">
        <f>VLOOKUP($B11,Unidades!$D$5:$N$29,9,FALSE())</f>
        <v>0</v>
      </c>
      <c r="G11" s="47">
        <f t="shared" si="0"/>
        <v>309.44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NÃO</v>
      </c>
      <c r="L11" s="48">
        <f t="shared" si="3"/>
        <v>1.6500000000000001</v>
      </c>
      <c r="M11" s="48">
        <f t="shared" si="4"/>
        <v>1.6500000000000001</v>
      </c>
      <c r="N11" s="48">
        <f t="shared" si="5"/>
        <v>30.15</v>
      </c>
      <c r="O11" s="49">
        <f t="shared" si="6"/>
        <v>1881.6794392499999</v>
      </c>
      <c r="P11" s="50"/>
      <c r="Q11" s="16" t="str">
        <f t="shared" si="7"/>
        <v>APS CRUZEIRO DO OESTE</v>
      </c>
      <c r="R11" s="18">
        <f t="shared" si="8"/>
        <v>93.615892500000001</v>
      </c>
      <c r="S11" s="18">
        <f t="shared" si="9"/>
        <v>112.33907099999999</v>
      </c>
      <c r="T11" s="18">
        <f t="shared" si="10"/>
        <v>102.97748175000001</v>
      </c>
      <c r="U11" s="18">
        <f t="shared" si="11"/>
        <v>102.97748175000001</v>
      </c>
      <c r="V11" s="18">
        <f>VLOOKUP(Q11,'Desl. Base Maringá'!$C$5:$S$17,13,FALSE())*($C$23+$D$23+$E$23*(VLOOKUP(Q11,'Desl. Base Maringá'!$C$5:$S$17,17,FALSE())/12))</f>
        <v>156.82077919444444</v>
      </c>
      <c r="W11" s="18">
        <f>VLOOKUP(Q11,'Desl. Base Maringá'!$C$5:$S$17,15,FALSE())*(2+(VLOOKUP(Q11,'Desl. Base Maringá'!$C$5:$S$17,17,FALSE())/12))</f>
        <v>0</v>
      </c>
      <c r="X11" s="18">
        <f>VLOOKUP(Q11,'Desl. Base Maringá'!$C$5:$Q$19,14,FALSE())</f>
        <v>0</v>
      </c>
      <c r="Y11" s="18">
        <f>VLOOKUP(Q11,'Desl. Base Maringá'!$C$5:$Q$17,13,FALSE())*'Desl. Base Maringá'!$E$22+'Desl. Base Maringá'!$E$23*N11/12</f>
        <v>152.36041666666668</v>
      </c>
      <c r="Z11" s="18">
        <f>(H11/$AC$5)*'Equipe Técnica'!$C$13</f>
        <v>278.33766309444036</v>
      </c>
      <c r="AA11" s="18">
        <f>(I11/$AC$5)*'Equipe Técnica'!$C$13</f>
        <v>334.00519571332842</v>
      </c>
      <c r="AB11" s="18">
        <f>(L11/$AC$5)*'Equipe Técnica'!$C$13</f>
        <v>306.17142940388442</v>
      </c>
      <c r="AC11" s="18">
        <f>(M11/$AC$5)*'Equipe Técnica'!$C$13</f>
        <v>306.17142940388442</v>
      </c>
      <c r="AD11" s="18">
        <f t="shared" si="12"/>
        <v>567.22588982251057</v>
      </c>
      <c r="AE11" s="18">
        <f t="shared" si="13"/>
        <v>641.6166009413987</v>
      </c>
      <c r="AF11" s="18">
        <f t="shared" si="14"/>
        <v>604.42124538195458</v>
      </c>
      <c r="AG11" s="18">
        <f t="shared" si="15"/>
        <v>604.42124538195458</v>
      </c>
      <c r="AI11" s="16" t="str">
        <f t="shared" si="16"/>
        <v>APS CRUZEIRO DO OESTE</v>
      </c>
      <c r="AJ11" s="51">
        <f>VLOOKUP(AI11,Unidades!D$5:H$29,5,)</f>
        <v>0.2994</v>
      </c>
      <c r="AK11" s="33">
        <f t="shared" si="17"/>
        <v>737.05332123537016</v>
      </c>
      <c r="AL11" s="33">
        <f t="shared" si="18"/>
        <v>833.71661126325341</v>
      </c>
      <c r="AM11" s="33">
        <f t="shared" si="19"/>
        <v>785.38496624931167</v>
      </c>
      <c r="AN11" s="33">
        <f t="shared" si="20"/>
        <v>785.38496624931167</v>
      </c>
      <c r="AO11" s="33">
        <f t="shared" si="21"/>
        <v>1211.3050998854494</v>
      </c>
      <c r="AP11" s="33">
        <f t="shared" si="23"/>
        <v>3633.915299656348</v>
      </c>
      <c r="AQ11" s="33">
        <f t="shared" si="22"/>
        <v>4845.2203995417976</v>
      </c>
      <c r="AR11" s="52"/>
      <c r="AS11" s="55" t="s">
        <v>88</v>
      </c>
      <c r="AT11" s="202">
        <f>AT10*12</f>
        <v>209738.78186429065</v>
      </c>
      <c r="AU11" s="202"/>
      <c r="AV11" s="54"/>
      <c r="AW11" s="54"/>
    </row>
    <row r="12" spans="2:49" s="3" customFormat="1" ht="15" customHeight="1">
      <c r="B12" s="165" t="s">
        <v>89</v>
      </c>
      <c r="C12" s="47">
        <f>VLOOKUP($B12,Unidades!$D$5:$N$29,6,FALSE())</f>
        <v>645.13</v>
      </c>
      <c r="D12" s="47">
        <f>VLOOKUP($B12,Unidades!$D$5:$N$29,7,FALSE())</f>
        <v>452.2</v>
      </c>
      <c r="E12" s="47">
        <f>VLOOKUP($B12,Unidades!$D$5:$N$29,8,FALSE())</f>
        <v>91.93</v>
      </c>
      <c r="F12" s="47">
        <f>VLOOKUP($B12,Unidades!$D$5:$N$29,9,FALSE())</f>
        <v>101</v>
      </c>
      <c r="G12" s="47">
        <f t="shared" si="0"/>
        <v>494.47550000000001</v>
      </c>
      <c r="H12" s="48">
        <f t="shared" si="1"/>
        <v>1.5</v>
      </c>
      <c r="I12" s="48">
        <f t="shared" si="2"/>
        <v>1.7999999999999998</v>
      </c>
      <c r="J12" s="48" t="str">
        <f>VLOOKUP($B12,Unidades!$D$5:$N$29,10,FALSE())</f>
        <v>NÃO</v>
      </c>
      <c r="K12" s="48" t="str">
        <f>VLOOKUP($B12,Unidades!$D$5:$N$29,11,FALSE())</f>
        <v>SIM</v>
      </c>
      <c r="L12" s="48">
        <f t="shared" si="3"/>
        <v>1.6500000000000001</v>
      </c>
      <c r="M12" s="48">
        <f t="shared" si="4"/>
        <v>5.65</v>
      </c>
      <c r="N12" s="48">
        <f t="shared" si="5"/>
        <v>34.15</v>
      </c>
      <c r="O12" s="49">
        <f t="shared" si="6"/>
        <v>2361.0508192499997</v>
      </c>
      <c r="P12" s="50"/>
      <c r="Q12" s="16" t="str">
        <f t="shared" si="7"/>
        <v>APS LOANDA</v>
      </c>
      <c r="R12" s="18">
        <f t="shared" si="8"/>
        <v>93.615892500000001</v>
      </c>
      <c r="S12" s="18">
        <f t="shared" si="9"/>
        <v>112.33907099999999</v>
      </c>
      <c r="T12" s="18">
        <f t="shared" si="10"/>
        <v>102.97748175000001</v>
      </c>
      <c r="U12" s="18">
        <f t="shared" si="11"/>
        <v>582.34886174999997</v>
      </c>
      <c r="V12" s="18">
        <f>VLOOKUP(Q12,'Desl. Base Maringá'!$C$5:$S$17,13,FALSE())*($C$23+$D$23+$E$23*(VLOOKUP(Q12,'Desl. Base Maringá'!$C$5:$S$17,17,FALSE())/12))</f>
        <v>78.41038959722222</v>
      </c>
      <c r="W12" s="18">
        <f>VLOOKUP(Q12,'Desl. Base Maringá'!$C$5:$S$17,15,FALSE())*(2+(VLOOKUP(Q12,'Desl. Base Maringá'!$C$5:$S$17,17,FALSE())/12))</f>
        <v>0</v>
      </c>
      <c r="X12" s="18">
        <f>VLOOKUP(Q12,'Desl. Base Maringá'!$C$5:$Q$19,14,FALSE())</f>
        <v>0</v>
      </c>
      <c r="Y12" s="18">
        <f>VLOOKUP(Q12,'Desl. Base Maringá'!$C$5:$Q$17,13,FALSE())*'Desl. Base Maringá'!$E$22+'Desl. Base Maringá'!$E$23*N12/12</f>
        <v>86.957583333333332</v>
      </c>
      <c r="Z12" s="18">
        <f>(H12/$AC$5)*'Equipe Técnica'!$C$13</f>
        <v>278.33766309444036</v>
      </c>
      <c r="AA12" s="18">
        <f>(I12/$AC$5)*'Equipe Técnica'!$C$13</f>
        <v>334.00519571332842</v>
      </c>
      <c r="AB12" s="18">
        <f>(L12/$AC$5)*'Equipe Técnica'!$C$13</f>
        <v>306.17142940388442</v>
      </c>
      <c r="AC12" s="18">
        <f>(M12/$AC$5)*'Equipe Técnica'!$C$13</f>
        <v>1048.4051976557255</v>
      </c>
      <c r="AD12" s="18">
        <f t="shared" si="12"/>
        <v>476.3964858663702</v>
      </c>
      <c r="AE12" s="18">
        <f t="shared" si="13"/>
        <v>550.78719698525822</v>
      </c>
      <c r="AF12" s="18">
        <f t="shared" si="14"/>
        <v>513.59184142581421</v>
      </c>
      <c r="AG12" s="18">
        <f t="shared" si="15"/>
        <v>1735.1969896776552</v>
      </c>
      <c r="AI12" s="16" t="str">
        <f t="shared" si="16"/>
        <v>APS LOANDA</v>
      </c>
      <c r="AJ12" s="51">
        <f>VLOOKUP(AI12,Unidades!D$5:H$29,5,)</f>
        <v>0.31419999999999998</v>
      </c>
      <c r="AK12" s="33">
        <f t="shared" si="17"/>
        <v>626.08026172558368</v>
      </c>
      <c r="AL12" s="33">
        <f t="shared" si="18"/>
        <v>723.84453427802634</v>
      </c>
      <c r="AM12" s="33">
        <f t="shared" si="19"/>
        <v>674.96239800180501</v>
      </c>
      <c r="AN12" s="33">
        <f t="shared" si="20"/>
        <v>2280.3958838343747</v>
      </c>
      <c r="AO12" s="33">
        <f t="shared" si="21"/>
        <v>1169.8884964714246</v>
      </c>
      <c r="AP12" s="33">
        <f t="shared" si="23"/>
        <v>3509.6654894142739</v>
      </c>
      <c r="AQ12" s="33">
        <f t="shared" si="22"/>
        <v>4679.5539858856982</v>
      </c>
      <c r="AR12" s="52"/>
      <c r="AS12" s="55" t="s">
        <v>73</v>
      </c>
      <c r="AT12" s="202">
        <f>AP20</f>
        <v>52434.695466072655</v>
      </c>
      <c r="AU12" s="202"/>
      <c r="AV12" s="52"/>
      <c r="AW12" s="52"/>
    </row>
    <row r="13" spans="2:49" s="3" customFormat="1" ht="15" customHeight="1">
      <c r="B13" s="165" t="s">
        <v>90</v>
      </c>
      <c r="C13" s="47">
        <f>VLOOKUP($B13,Unidades!$D$5:$N$29,6,FALSE())</f>
        <v>334.4</v>
      </c>
      <c r="D13" s="47">
        <f>VLOOKUP($B13,Unidades!$D$5:$N$29,7,FALSE())</f>
        <v>296</v>
      </c>
      <c r="E13" s="47">
        <f>VLOOKUP($B13,Unidades!$D$5:$N$29,8,FALSE())</f>
        <v>38.4</v>
      </c>
      <c r="F13" s="47">
        <f>VLOOKUP($B13,Unidades!$D$5:$N$29,9,FALSE())</f>
        <v>0</v>
      </c>
      <c r="G13" s="47">
        <f t="shared" si="0"/>
        <v>309.44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1881.6794392499999</v>
      </c>
      <c r="P13" s="50"/>
      <c r="Q13" s="16" t="str">
        <f t="shared" si="7"/>
        <v>APS MANDAGUARI</v>
      </c>
      <c r="R13" s="18">
        <f t="shared" si="8"/>
        <v>93.615892500000001</v>
      </c>
      <c r="S13" s="18">
        <f t="shared" si="9"/>
        <v>112.33907099999999</v>
      </c>
      <c r="T13" s="18">
        <f t="shared" si="10"/>
        <v>102.97748175000001</v>
      </c>
      <c r="U13" s="18">
        <f t="shared" si="11"/>
        <v>102.97748175000001</v>
      </c>
      <c r="V13" s="18">
        <f>VLOOKUP(Q13,'Desl. Base Maringá'!$C$5:$S$17,13,FALSE())*($C$23+$D$23+$E$23*(VLOOKUP(Q13,'Desl. Base Maringá'!$C$5:$S$17,17,FALSE())/12))</f>
        <v>46.807946250000001</v>
      </c>
      <c r="W13" s="18">
        <f>VLOOKUP(Q13,'Desl. Base Maringá'!$C$5:$S$17,15,FALSE())*(2+(VLOOKUP(Q13,'Desl. Base Maringá'!$C$5:$S$17,17,FALSE())/12))</f>
        <v>0</v>
      </c>
      <c r="X13" s="18">
        <f>VLOOKUP(Q13,'Desl. Base Maringá'!$C$5:$Q$19,14,FALSE())</f>
        <v>0</v>
      </c>
      <c r="Y13" s="18">
        <f>VLOOKUP(Q13,'Desl. Base Maringá'!$C$5:$Q$17,13,FALSE())*'Desl. Base Maringá'!$E$22+'Desl. Base Maringá'!$E$23*N13/12</f>
        <v>59.619749999999996</v>
      </c>
      <c r="Z13" s="18">
        <f>(H13/$AC$5)*'Equipe Técnica'!$C$13</f>
        <v>278.33766309444036</v>
      </c>
      <c r="AA13" s="18">
        <f>(I13/$AC$5)*'Equipe Técnica'!$C$13</f>
        <v>334.00519571332842</v>
      </c>
      <c r="AB13" s="18">
        <f>(L13/$AC$5)*'Equipe Técnica'!$C$13</f>
        <v>306.17142940388442</v>
      </c>
      <c r="AC13" s="18">
        <f>(M13/$AC$5)*'Equipe Técnica'!$C$13</f>
        <v>306.17142940388442</v>
      </c>
      <c r="AD13" s="18">
        <f t="shared" si="12"/>
        <v>439.17104796286139</v>
      </c>
      <c r="AE13" s="18">
        <f t="shared" si="13"/>
        <v>513.56175908174941</v>
      </c>
      <c r="AF13" s="18">
        <f t="shared" si="14"/>
        <v>476.36640352230546</v>
      </c>
      <c r="AG13" s="18">
        <f t="shared" si="15"/>
        <v>476.36640352230546</v>
      </c>
      <c r="AI13" s="16" t="str">
        <f t="shared" si="16"/>
        <v>APS MANDAGUARI</v>
      </c>
      <c r="AJ13" s="51">
        <f>VLOOKUP(AI13,Unidades!D$5:H$29,5,)</f>
        <v>0.28489999999999999</v>
      </c>
      <c r="AK13" s="33">
        <f t="shared" si="17"/>
        <v>564.29087952748057</v>
      </c>
      <c r="AL13" s="33">
        <f t="shared" si="18"/>
        <v>659.87550424413973</v>
      </c>
      <c r="AM13" s="33">
        <f t="shared" si="19"/>
        <v>612.08319188581027</v>
      </c>
      <c r="AN13" s="33">
        <f t="shared" si="20"/>
        <v>612.08319188581027</v>
      </c>
      <c r="AO13" s="33">
        <f t="shared" si="21"/>
        <v>937.2701789136463</v>
      </c>
      <c r="AP13" s="33">
        <f t="shared" si="23"/>
        <v>2811.8105367409389</v>
      </c>
      <c r="AQ13" s="33">
        <f t="shared" si="22"/>
        <v>3749.0807156545852</v>
      </c>
      <c r="AR13" s="52"/>
      <c r="AS13" s="55" t="s">
        <v>91</v>
      </c>
      <c r="AT13" s="202">
        <f>AT12*12</f>
        <v>629216.34559287189</v>
      </c>
      <c r="AU13" s="202"/>
      <c r="AV13" s="54"/>
      <c r="AW13" s="54"/>
    </row>
    <row r="14" spans="2:49" s="3" customFormat="1" ht="15" customHeight="1">
      <c r="B14" s="165" t="s">
        <v>92</v>
      </c>
      <c r="C14" s="47">
        <f>VLOOKUP($B14,Unidades!$D$5:$N$29,6,FALSE())</f>
        <v>334.4</v>
      </c>
      <c r="D14" s="47">
        <f>VLOOKUP($B14,Unidades!$D$5:$N$29,7,FALSE())</f>
        <v>296</v>
      </c>
      <c r="E14" s="47">
        <f>VLOOKUP($B14,Unidades!$D$5:$N$29,8,FALSE())</f>
        <v>38.4</v>
      </c>
      <c r="F14" s="47">
        <f>VLOOKUP($B14,Unidades!$D$5:$N$29,9,FALSE())</f>
        <v>0</v>
      </c>
      <c r="G14" s="47">
        <f t="shared" si="0"/>
        <v>309.44</v>
      </c>
      <c r="H14" s="48">
        <f t="shared" si="1"/>
        <v>1.5</v>
      </c>
      <c r="I14" s="48">
        <f t="shared" si="2"/>
        <v>1.7999999999999998</v>
      </c>
      <c r="J14" s="48" t="str">
        <f>VLOOKUP($B14,Unidades!$D$5:$N$29,10,FALSE())</f>
        <v>NÃO</v>
      </c>
      <c r="K14" s="48" t="str">
        <f>VLOOKUP($B14,Unidades!$D$5:$N$29,11,FALSE())</f>
        <v>NÃO</v>
      </c>
      <c r="L14" s="48">
        <f t="shared" si="3"/>
        <v>1.6500000000000001</v>
      </c>
      <c r="M14" s="48">
        <f t="shared" si="4"/>
        <v>1.6500000000000001</v>
      </c>
      <c r="N14" s="48">
        <f t="shared" si="5"/>
        <v>30.15</v>
      </c>
      <c r="O14" s="49">
        <f t="shared" si="6"/>
        <v>1881.6794392499999</v>
      </c>
      <c r="P14" s="50"/>
      <c r="Q14" s="16" t="str">
        <f t="shared" si="7"/>
        <v>APS NOVA ESPERANÇA</v>
      </c>
      <c r="R14" s="18">
        <f t="shared" si="8"/>
        <v>93.615892500000001</v>
      </c>
      <c r="S14" s="18">
        <f t="shared" si="9"/>
        <v>112.33907099999999</v>
      </c>
      <c r="T14" s="18">
        <f t="shared" si="10"/>
        <v>102.97748175000001</v>
      </c>
      <c r="U14" s="18">
        <f t="shared" si="11"/>
        <v>102.97748175000001</v>
      </c>
      <c r="V14" s="18">
        <f>VLOOKUP(Q14,'Desl. Base Maringá'!$C$5:$S$17,13,FALSE())*($C$23+$D$23+$E$23*(VLOOKUP(Q14,'Desl. Base Maringá'!$C$5:$S$17,17,FALSE())/12))</f>
        <v>86.854744708333328</v>
      </c>
      <c r="W14" s="18">
        <f>VLOOKUP(Q14,'Desl. Base Maringá'!$C$5:$S$17,15,FALSE())*(2+(VLOOKUP(Q14,'Desl. Base Maringá'!$C$5:$S$17,17,FALSE())/12))</f>
        <v>0</v>
      </c>
      <c r="X14" s="18">
        <f>VLOOKUP(Q14,'Desl. Base Maringá'!$C$5:$Q$19,14,FALSE())</f>
        <v>0</v>
      </c>
      <c r="Y14" s="18">
        <f>VLOOKUP(Q14,'Desl. Base Maringá'!$C$5:$Q$17,13,FALSE())*'Desl. Base Maringá'!$E$22+'Desl. Base Maringá'!$E$23*N14/12</f>
        <v>96.053583333333336</v>
      </c>
      <c r="Z14" s="18">
        <f>(H14/$AC$5)*'Equipe Técnica'!$C$13</f>
        <v>278.33766309444036</v>
      </c>
      <c r="AA14" s="18">
        <f>(I14/$AC$5)*'Equipe Técnica'!$C$13</f>
        <v>334.00519571332842</v>
      </c>
      <c r="AB14" s="18">
        <f>(L14/$AC$5)*'Equipe Técnica'!$C$13</f>
        <v>306.17142940388442</v>
      </c>
      <c r="AC14" s="18">
        <f>(M14/$AC$5)*'Equipe Técnica'!$C$13</f>
        <v>306.17142940388442</v>
      </c>
      <c r="AD14" s="18">
        <f t="shared" si="12"/>
        <v>487.47460488391403</v>
      </c>
      <c r="AE14" s="18">
        <f t="shared" si="13"/>
        <v>561.86531600280205</v>
      </c>
      <c r="AF14" s="18">
        <f t="shared" si="14"/>
        <v>524.66996044335815</v>
      </c>
      <c r="AG14" s="18">
        <f t="shared" si="15"/>
        <v>524.66996044335815</v>
      </c>
      <c r="AI14" s="16" t="str">
        <f t="shared" si="16"/>
        <v>APS NOVA ESPERANÇA</v>
      </c>
      <c r="AJ14" s="51">
        <f>VLOOKUP(AI14,Unidades!D$5:H$29,5,)</f>
        <v>0.2707</v>
      </c>
      <c r="AK14" s="33">
        <f t="shared" si="17"/>
        <v>619.43398042598949</v>
      </c>
      <c r="AL14" s="33">
        <f t="shared" si="18"/>
        <v>713.96225704476058</v>
      </c>
      <c r="AM14" s="33">
        <f t="shared" si="19"/>
        <v>666.69811873537515</v>
      </c>
      <c r="AN14" s="33">
        <f t="shared" si="20"/>
        <v>666.69811873537515</v>
      </c>
      <c r="AO14" s="33">
        <f t="shared" si="21"/>
        <v>1024.0959291247534</v>
      </c>
      <c r="AP14" s="33">
        <f t="shared" si="23"/>
        <v>3072.28778737426</v>
      </c>
      <c r="AQ14" s="33">
        <f t="shared" si="22"/>
        <v>4096.3837164990136</v>
      </c>
      <c r="AR14" s="52"/>
      <c r="AS14" s="55" t="s">
        <v>74</v>
      </c>
      <c r="AT14" s="202">
        <f>AT10+AT12</f>
        <v>69912.927288096878</v>
      </c>
      <c r="AU14" s="202"/>
      <c r="AV14" s="54"/>
      <c r="AW14" s="54"/>
    </row>
    <row r="15" spans="2:49" s="3" customFormat="1" ht="15" customHeight="1">
      <c r="B15" s="165" t="s">
        <v>93</v>
      </c>
      <c r="C15" s="47">
        <f>VLOOKUP($B15,Unidades!$D$5:$N$29,6,FALSE())</f>
        <v>334.4</v>
      </c>
      <c r="D15" s="47">
        <f>VLOOKUP($B15,Unidades!$D$5:$N$29,7,FALSE())</f>
        <v>296</v>
      </c>
      <c r="E15" s="47">
        <f>VLOOKUP($B15,Unidades!$D$5:$N$29,8,FALSE())</f>
        <v>38.4</v>
      </c>
      <c r="F15" s="47">
        <f>VLOOKUP($B15,Unidades!$D$5:$N$29,9,FALSE())</f>
        <v>0</v>
      </c>
      <c r="G15" s="47">
        <f t="shared" si="0"/>
        <v>309.44</v>
      </c>
      <c r="H15" s="48">
        <f t="shared" si="1"/>
        <v>1.5</v>
      </c>
      <c r="I15" s="48">
        <f t="shared" si="2"/>
        <v>1.7999999999999998</v>
      </c>
      <c r="J15" s="48" t="str">
        <f>VLOOKUP($B15,Unidades!$D$5:$N$29,10,FALSE())</f>
        <v>NÃO</v>
      </c>
      <c r="K15" s="48" t="str">
        <f>VLOOKUP($B15,Unidades!$D$5:$N$29,11,FALSE())</f>
        <v>NÃO</v>
      </c>
      <c r="L15" s="48">
        <f t="shared" si="3"/>
        <v>1.6500000000000001</v>
      </c>
      <c r="M15" s="48">
        <f t="shared" si="4"/>
        <v>1.6500000000000001</v>
      </c>
      <c r="N15" s="48">
        <f t="shared" si="5"/>
        <v>30.15</v>
      </c>
      <c r="O15" s="49">
        <f t="shared" si="6"/>
        <v>1881.6794392499999</v>
      </c>
      <c r="P15" s="50"/>
      <c r="Q15" s="16" t="str">
        <f t="shared" si="7"/>
        <v>APS PAIÇANDU</v>
      </c>
      <c r="R15" s="18">
        <f t="shared" si="8"/>
        <v>93.615892500000001</v>
      </c>
      <c r="S15" s="18">
        <f t="shared" si="9"/>
        <v>112.33907099999999</v>
      </c>
      <c r="T15" s="18">
        <f t="shared" si="10"/>
        <v>102.97748175000001</v>
      </c>
      <c r="U15" s="18">
        <f t="shared" si="11"/>
        <v>102.97748175000001</v>
      </c>
      <c r="V15" s="18">
        <f>VLOOKUP(Q15,'Desl. Base Maringá'!$C$5:$S$17,13,FALSE())*($C$23+$D$23+$E$23*(VLOOKUP(Q15,'Desl. Base Maringá'!$C$5:$S$17,17,FALSE())/12))</f>
        <v>79.573508625000002</v>
      </c>
      <c r="W15" s="18">
        <f>VLOOKUP(Q15,'Desl. Base Maringá'!$C$5:$S$17,15,FALSE())*(2+(VLOOKUP(Q15,'Desl. Base Maringá'!$C$5:$S$17,17,FALSE())/12))</f>
        <v>0</v>
      </c>
      <c r="X15" s="18">
        <f>VLOOKUP(Q15,'Desl. Base Maringá'!$C$5:$Q$19,14,FALSE())</f>
        <v>0</v>
      </c>
      <c r="Y15" s="18">
        <f>VLOOKUP(Q15,'Desl. Base Maringá'!$C$5:$Q$17,13,FALSE())*'Desl. Base Maringá'!$E$22+'Desl. Base Maringá'!$E$23*N15/12</f>
        <v>89.429249999999996</v>
      </c>
      <c r="Z15" s="18">
        <f>(H15/$AC$5)*'Equipe Técnica'!$C$13</f>
        <v>278.33766309444036</v>
      </c>
      <c r="AA15" s="18">
        <f>(I15/$AC$5)*'Equipe Técnica'!$C$13</f>
        <v>334.00519571332842</v>
      </c>
      <c r="AB15" s="18">
        <f>(L15/$AC$5)*'Equipe Técnica'!$C$13</f>
        <v>306.17142940388442</v>
      </c>
      <c r="AC15" s="18">
        <f>(M15/$AC$5)*'Equipe Técnica'!$C$13</f>
        <v>306.17142940388442</v>
      </c>
      <c r="AD15" s="18">
        <f t="shared" si="12"/>
        <v>478.69213998917724</v>
      </c>
      <c r="AE15" s="18">
        <f t="shared" si="13"/>
        <v>553.08285110806526</v>
      </c>
      <c r="AF15" s="18">
        <f t="shared" si="14"/>
        <v>515.88749554862125</v>
      </c>
      <c r="AG15" s="18">
        <f t="shared" si="15"/>
        <v>515.88749554862125</v>
      </c>
      <c r="AI15" s="16" t="str">
        <f t="shared" si="16"/>
        <v>APS PAIÇANDU</v>
      </c>
      <c r="AJ15" s="51">
        <f>VLOOKUP(AI15,Unidades!D$5:H$29,5,)</f>
        <v>0.28489999999999999</v>
      </c>
      <c r="AK15" s="33">
        <f t="shared" si="17"/>
        <v>615.07153067209379</v>
      </c>
      <c r="AL15" s="33">
        <f t="shared" si="18"/>
        <v>710.65615538875306</v>
      </c>
      <c r="AM15" s="33">
        <f t="shared" si="19"/>
        <v>662.86384303042337</v>
      </c>
      <c r="AN15" s="33">
        <f t="shared" si="20"/>
        <v>662.86384303042337</v>
      </c>
      <c r="AO15" s="33">
        <f t="shared" si="21"/>
        <v>1017.672876559284</v>
      </c>
      <c r="AP15" s="33">
        <f t="shared" si="23"/>
        <v>3053.018629677852</v>
      </c>
      <c r="AQ15" s="33">
        <f t="shared" si="22"/>
        <v>4070.6915062371359</v>
      </c>
      <c r="AR15" s="52"/>
      <c r="AS15" s="55" t="s">
        <v>94</v>
      </c>
      <c r="AT15" s="202">
        <f>AT11+AT13</f>
        <v>838955.1274571626</v>
      </c>
      <c r="AU15" s="202"/>
      <c r="AV15" s="52"/>
      <c r="AW15" s="52"/>
    </row>
    <row r="16" spans="2:49" s="3" customFormat="1" ht="15" customHeight="1">
      <c r="B16" s="165" t="s">
        <v>95</v>
      </c>
      <c r="C16" s="47">
        <f>VLOOKUP($B16,Unidades!$D$5:$N$29,6,FALSE())</f>
        <v>2638.17</v>
      </c>
      <c r="D16" s="47">
        <f>VLOOKUP($B16,Unidades!$D$5:$N$29,7,FALSE())</f>
        <v>1217.05</v>
      </c>
      <c r="E16" s="47">
        <f>VLOOKUP($B16,Unidades!$D$5:$N$29,8,FALSE())</f>
        <v>346.5</v>
      </c>
      <c r="F16" s="47">
        <f>VLOOKUP($B16,Unidades!$D$5:$N$29,9,FALSE())</f>
        <v>1074.6199999999999</v>
      </c>
      <c r="G16" s="47">
        <f t="shared" si="0"/>
        <v>1445.787</v>
      </c>
      <c r="H16" s="48">
        <f t="shared" si="1"/>
        <v>2</v>
      </c>
      <c r="I16" s="48">
        <f t="shared" si="2"/>
        <v>2.4</v>
      </c>
      <c r="J16" s="48" t="str">
        <f>VLOOKUP($B16,Unidades!$D$5:$N$29,10,FALSE())</f>
        <v>SIM</v>
      </c>
      <c r="K16" s="48" t="str">
        <f>VLOOKUP($B16,Unidades!$D$5:$N$29,11,FALSE())</f>
        <v>SIM</v>
      </c>
      <c r="L16" s="48">
        <f t="shared" si="3"/>
        <v>4.2</v>
      </c>
      <c r="M16" s="48">
        <f t="shared" si="4"/>
        <v>8.1999999999999993</v>
      </c>
      <c r="N16" s="48">
        <f t="shared" si="5"/>
        <v>50.2</v>
      </c>
      <c r="O16" s="49">
        <f t="shared" si="6"/>
        <v>3466.4238690000002</v>
      </c>
      <c r="P16" s="50"/>
      <c r="Q16" s="16" t="str">
        <f t="shared" si="7"/>
        <v>APS PARANAVAÍ</v>
      </c>
      <c r="R16" s="18">
        <f t="shared" si="8"/>
        <v>124.82119</v>
      </c>
      <c r="S16" s="18">
        <f t="shared" si="9"/>
        <v>149.785428</v>
      </c>
      <c r="T16" s="18">
        <f t="shared" si="10"/>
        <v>262.12449900000001</v>
      </c>
      <c r="U16" s="18">
        <f t="shared" si="11"/>
        <v>845.17887899999994</v>
      </c>
      <c r="V16" s="18">
        <f>VLOOKUP(Q16,'Desl. Base Maringá'!$C$5:$S$17,13,FALSE())*($C$23+$D$23+$E$23*(VLOOKUP(Q16,'Desl. Base Maringá'!$C$5:$S$17,17,FALSE())/12))</f>
        <v>78.41038959722222</v>
      </c>
      <c r="W16" s="18">
        <f>VLOOKUP(Q16,'Desl. Base Maringá'!$C$5:$S$17,15,FALSE())*(2+(VLOOKUP(Q16,'Desl. Base Maringá'!$C$5:$S$17,17,FALSE())/12))</f>
        <v>0</v>
      </c>
      <c r="X16" s="18">
        <f>VLOOKUP(Q16,'Desl. Base Maringá'!$C$5:$Q$19,14,FALSE())</f>
        <v>0</v>
      </c>
      <c r="Y16" s="18">
        <f>VLOOKUP(Q16,'Desl. Base Maringá'!$C$5:$Q$17,13,FALSE())*'Desl. Base Maringá'!$E$22+'Desl. Base Maringá'!$E$23*N16/12</f>
        <v>96.025833333333338</v>
      </c>
      <c r="Z16" s="18">
        <f>(H16/$AC$5)*'Equipe Técnica'!$C$13</f>
        <v>371.11688412592048</v>
      </c>
      <c r="AA16" s="18">
        <f>(I16/$AC$5)*'Equipe Técnica'!$C$13</f>
        <v>445.34026095110454</v>
      </c>
      <c r="AB16" s="18">
        <f>(L16/$AC$5)*'Equipe Técnica'!$C$13</f>
        <v>779.34545666443296</v>
      </c>
      <c r="AC16" s="18">
        <f>(M16/$AC$5)*'Equipe Técnica'!$C$13</f>
        <v>1521.5792249162737</v>
      </c>
      <c r="AD16" s="18">
        <f t="shared" si="12"/>
        <v>606.10832018732401</v>
      </c>
      <c r="AE16" s="18">
        <f t="shared" si="13"/>
        <v>705.29593501250804</v>
      </c>
      <c r="AF16" s="18">
        <f t="shared" si="14"/>
        <v>1151.6402017258365</v>
      </c>
      <c r="AG16" s="18">
        <f t="shared" si="15"/>
        <v>2476.928349977677</v>
      </c>
      <c r="AI16" s="16" t="str">
        <f t="shared" si="16"/>
        <v>APS PARANAVAÍ</v>
      </c>
      <c r="AJ16" s="51">
        <f>VLOOKUP(AI16,Unidades!D$5:H$29,5,)</f>
        <v>0.2994</v>
      </c>
      <c r="AK16" s="33">
        <f t="shared" si="17"/>
        <v>787.57715125140874</v>
      </c>
      <c r="AL16" s="33">
        <f t="shared" si="18"/>
        <v>916.46153795525288</v>
      </c>
      <c r="AM16" s="33">
        <f t="shared" si="19"/>
        <v>1496.4412781225519</v>
      </c>
      <c r="AN16" s="33">
        <f t="shared" si="20"/>
        <v>3218.5206979609934</v>
      </c>
      <c r="AO16" s="33">
        <f t="shared" si="21"/>
        <v>1610.6812684203344</v>
      </c>
      <c r="AP16" s="33">
        <f t="shared" si="23"/>
        <v>4832.0438052610034</v>
      </c>
      <c r="AQ16" s="33">
        <f t="shared" si="22"/>
        <v>6442.7250736813376</v>
      </c>
      <c r="AR16" s="52"/>
      <c r="AS16" s="52"/>
      <c r="AT16" s="52"/>
      <c r="AU16" s="52"/>
      <c r="AV16" s="52"/>
      <c r="AW16" s="52"/>
    </row>
    <row r="17" spans="2:49" s="3" customFormat="1" ht="15" customHeight="1">
      <c r="B17" s="165" t="s">
        <v>96</v>
      </c>
      <c r="C17" s="47">
        <f>VLOOKUP($B17,Unidades!$D$5:$N$29,6,FALSE())</f>
        <v>3345.5</v>
      </c>
      <c r="D17" s="47">
        <f>VLOOKUP($B17,Unidades!$D$5:$N$29,7,FALSE())</f>
        <v>2007</v>
      </c>
      <c r="E17" s="47">
        <f>VLOOKUP($B17,Unidades!$D$5:$N$29,8,FALSE())</f>
        <v>1003.5</v>
      </c>
      <c r="F17" s="47">
        <f>VLOOKUP($B17,Unidades!$D$5:$N$29,9,FALSE())</f>
        <v>335</v>
      </c>
      <c r="G17" s="47">
        <f t="shared" si="0"/>
        <v>2391.7249999999999</v>
      </c>
      <c r="H17" s="48">
        <f t="shared" si="1"/>
        <v>3</v>
      </c>
      <c r="I17" s="48">
        <f t="shared" si="2"/>
        <v>3.5999999999999996</v>
      </c>
      <c r="J17" s="48" t="str">
        <f>VLOOKUP($B17,Unidades!$D$5:$N$29,10,FALSE())</f>
        <v>SIM</v>
      </c>
      <c r="K17" s="48" t="str">
        <f>VLOOKUP($B17,Unidades!$D$5:$N$29,11,FALSE())</f>
        <v>SIM</v>
      </c>
      <c r="L17" s="48">
        <f t="shared" si="3"/>
        <v>5.3000000000000007</v>
      </c>
      <c r="M17" s="48">
        <f t="shared" si="4"/>
        <v>9.3000000000000007</v>
      </c>
      <c r="N17" s="48">
        <f t="shared" si="5"/>
        <v>70.3</v>
      </c>
      <c r="O17" s="49">
        <f t="shared" si="6"/>
        <v>4765.6028285000002</v>
      </c>
      <c r="P17" s="50"/>
      <c r="Q17" s="16" t="str">
        <f t="shared" si="7"/>
        <v>APS UMUARAMA</v>
      </c>
      <c r="R17" s="18">
        <f t="shared" si="8"/>
        <v>187.231785</v>
      </c>
      <c r="S17" s="18">
        <f t="shared" si="9"/>
        <v>224.67814199999998</v>
      </c>
      <c r="T17" s="18">
        <f t="shared" si="10"/>
        <v>330.77615350000002</v>
      </c>
      <c r="U17" s="18">
        <f t="shared" si="11"/>
        <v>958.5565335</v>
      </c>
      <c r="V17" s="18">
        <f>VLOOKUP(Q17,'Desl. Base Maringá'!$C$5:$S$17,13,FALSE())*($C$23+$D$23+$E$23*(VLOOKUP(Q17,'Desl. Base Maringá'!$C$5:$S$17,17,FALSE())/12))</f>
        <v>156.82077919444444</v>
      </c>
      <c r="W17" s="18">
        <f>VLOOKUP(Q17,'Desl. Base Maringá'!$C$5:$S$17,15,FALSE())*(2+(VLOOKUP(Q17,'Desl. Base Maringá'!$C$5:$S$17,17,FALSE())/12))</f>
        <v>0</v>
      </c>
      <c r="X17" s="18">
        <f>VLOOKUP(Q17,'Desl. Base Maringá'!$C$5:$Q$19,14,FALSE())</f>
        <v>0</v>
      </c>
      <c r="Y17" s="18">
        <f>VLOOKUP(Q17,'Desl. Base Maringá'!$C$5:$Q$17,13,FALSE())*'Desl. Base Maringá'!$E$22+'Desl. Base Maringá'!$E$23*N17/12</f>
        <v>175.04516666666669</v>
      </c>
      <c r="Z17" s="18">
        <f>(H17/$AC$5)*'Equipe Técnica'!$C$13</f>
        <v>556.67532618888072</v>
      </c>
      <c r="AA17" s="18">
        <f>(I17/$AC$5)*'Equipe Técnica'!$C$13</f>
        <v>668.01039142665684</v>
      </c>
      <c r="AB17" s="18">
        <f>(L17/$AC$5)*'Equipe Técnica'!$C$13</f>
        <v>983.45974293368943</v>
      </c>
      <c r="AC17" s="18">
        <f>(M17/$AC$5)*'Equipe Técnica'!$C$13</f>
        <v>1725.6935111855303</v>
      </c>
      <c r="AD17" s="18">
        <f t="shared" si="12"/>
        <v>953.50665594326665</v>
      </c>
      <c r="AE17" s="18">
        <f t="shared" si="13"/>
        <v>1102.2880781810427</v>
      </c>
      <c r="AF17" s="18">
        <f t="shared" si="14"/>
        <v>1523.8354411880755</v>
      </c>
      <c r="AG17" s="18">
        <f t="shared" si="15"/>
        <v>2893.8495894399161</v>
      </c>
      <c r="AI17" s="16" t="str">
        <f t="shared" si="16"/>
        <v>APS UMUARAMA</v>
      </c>
      <c r="AJ17" s="51">
        <f>VLOOKUP(AI17,Unidades!D$5:H$29,5,)</f>
        <v>0.2707</v>
      </c>
      <c r="AK17" s="33">
        <f t="shared" si="17"/>
        <v>1211.6209077071089</v>
      </c>
      <c r="AL17" s="33">
        <f t="shared" si="18"/>
        <v>1400.6774609446509</v>
      </c>
      <c r="AM17" s="33">
        <f t="shared" si="19"/>
        <v>1936.3376951176874</v>
      </c>
      <c r="AN17" s="33">
        <f t="shared" si="20"/>
        <v>3677.2146733013014</v>
      </c>
      <c r="AO17" s="33">
        <f t="shared" si="21"/>
        <v>2307.6708999833822</v>
      </c>
      <c r="AP17" s="33">
        <f t="shared" si="23"/>
        <v>6923.0126999501463</v>
      </c>
      <c r="AQ17" s="33">
        <f t="shared" si="22"/>
        <v>9230.683599933529</v>
      </c>
      <c r="AR17" s="52"/>
      <c r="AS17" s="52"/>
      <c r="AT17" s="52"/>
      <c r="AU17" s="52"/>
      <c r="AV17" s="52"/>
      <c r="AW17" s="52"/>
    </row>
    <row r="18" spans="2:49" s="3" customFormat="1" ht="15" customHeight="1">
      <c r="B18" s="165" t="s">
        <v>97</v>
      </c>
      <c r="C18" s="47">
        <f>VLOOKUP($B18,Unidades!$D$5:$N$29,6,FALSE())</f>
        <v>1122</v>
      </c>
      <c r="D18" s="47">
        <f>VLOOKUP($B18,Unidades!$D$5:$N$29,7,FALSE())</f>
        <v>882</v>
      </c>
      <c r="E18" s="47">
        <f>VLOOKUP($B18,Unidades!$D$5:$N$29,8,FALSE())</f>
        <v>240</v>
      </c>
      <c r="F18" s="47">
        <f>VLOOKUP($B18,Unidades!$D$5:$N$29,9,FALSE())</f>
        <v>0</v>
      </c>
      <c r="G18" s="47">
        <f t="shared" si="0"/>
        <v>966</v>
      </c>
      <c r="H18" s="48">
        <f t="shared" si="1"/>
        <v>2</v>
      </c>
      <c r="I18" s="48">
        <f t="shared" si="2"/>
        <v>2.4</v>
      </c>
      <c r="J18" s="48" t="str">
        <f>VLOOKUP($B18,Unidades!$D$5:$N$29,10,FALSE())</f>
        <v>NÃO</v>
      </c>
      <c r="K18" s="48" t="str">
        <f>VLOOKUP($B18,Unidades!$D$5:$N$29,11,FALSE())</f>
        <v>NÃO</v>
      </c>
      <c r="L18" s="48">
        <f t="shared" si="3"/>
        <v>2.2000000000000002</v>
      </c>
      <c r="M18" s="48">
        <f t="shared" si="4"/>
        <v>2.2000000000000002</v>
      </c>
      <c r="N18" s="48">
        <f t="shared" si="5"/>
        <v>40.200000000000003</v>
      </c>
      <c r="O18" s="49">
        <f t="shared" si="6"/>
        <v>2508.9059190000003</v>
      </c>
      <c r="P18" s="50"/>
      <c r="Q18" s="16" t="str">
        <f t="shared" si="7"/>
        <v>CEDOCPREV MARINGÁ</v>
      </c>
      <c r="R18" s="18">
        <f t="shared" si="8"/>
        <v>124.82119</v>
      </c>
      <c r="S18" s="18">
        <f t="shared" si="9"/>
        <v>149.785428</v>
      </c>
      <c r="T18" s="18">
        <f t="shared" si="10"/>
        <v>137.30330900000001</v>
      </c>
      <c r="U18" s="18">
        <f t="shared" si="11"/>
        <v>137.30330900000001</v>
      </c>
      <c r="V18" s="18">
        <f>VLOOKUP(Q18,'Desl. Base Maringá'!$C$5:$S$17,13,FALSE())*($C$23+$D$23+$E$23*(VLOOKUP(Q18,'Desl. Base Maringá'!$C$5:$S$17,17,FALSE())/12))</f>
        <v>46.807946250000001</v>
      </c>
      <c r="W18" s="18">
        <f>VLOOKUP(Q18,'Desl. Base Maringá'!$C$5:$S$17,15,FALSE())*(2+(VLOOKUP(Q18,'Desl. Base Maringá'!$C$5:$S$17,17,FALSE())/12))</f>
        <v>0</v>
      </c>
      <c r="X18" s="18">
        <f>VLOOKUP(Q18,'Desl. Base Maringá'!$C$5:$Q$19,14,FALSE())</f>
        <v>0</v>
      </c>
      <c r="Y18" s="18">
        <f>VLOOKUP(Q18,'Desl. Base Maringá'!$C$5:$Q$17,13,FALSE())*'Desl. Base Maringá'!$E$22+'Desl. Base Maringá'!$E$23*N18/12</f>
        <v>65.298000000000002</v>
      </c>
      <c r="Z18" s="18">
        <f>(H18/$AC$5)*'Equipe Técnica'!$C$13</f>
        <v>371.11688412592048</v>
      </c>
      <c r="AA18" s="18">
        <f>(I18/$AC$5)*'Equipe Técnica'!$C$13</f>
        <v>445.34026095110454</v>
      </c>
      <c r="AB18" s="18">
        <f>(L18/$AC$5)*'Equipe Técnica'!$C$13</f>
        <v>408.22857253851254</v>
      </c>
      <c r="AC18" s="18">
        <f>(M18/$AC$5)*'Equipe Técnica'!$C$13</f>
        <v>408.22857253851254</v>
      </c>
      <c r="AD18" s="18">
        <f t="shared" si="12"/>
        <v>566.74182965223622</v>
      </c>
      <c r="AE18" s="18">
        <f t="shared" si="13"/>
        <v>665.92944447742036</v>
      </c>
      <c r="AF18" s="18">
        <f t="shared" si="14"/>
        <v>616.33563706482835</v>
      </c>
      <c r="AG18" s="18">
        <f t="shared" si="15"/>
        <v>616.33563706482835</v>
      </c>
      <c r="AI18" s="16" t="str">
        <f t="shared" si="16"/>
        <v>CEDOCPREV MARINGÁ</v>
      </c>
      <c r="AJ18" s="51">
        <f>VLOOKUP(AI18,Unidades!D$5:H$29,5,)</f>
        <v>0.28489999999999999</v>
      </c>
      <c r="AK18" s="33">
        <f t="shared" si="17"/>
        <v>728.20657692015823</v>
      </c>
      <c r="AL18" s="33">
        <f t="shared" si="18"/>
        <v>855.65274320903734</v>
      </c>
      <c r="AM18" s="33">
        <f t="shared" si="19"/>
        <v>791.9296600645979</v>
      </c>
      <c r="AN18" s="33">
        <f t="shared" si="20"/>
        <v>791.9296600645979</v>
      </c>
      <c r="AO18" s="33">
        <f t="shared" si="21"/>
        <v>1211.4065730059867</v>
      </c>
      <c r="AP18" s="33">
        <f t="shared" si="23"/>
        <v>3634.2197190179604</v>
      </c>
      <c r="AQ18" s="33">
        <f t="shared" si="22"/>
        <v>4845.6262920239469</v>
      </c>
      <c r="AR18" s="52"/>
      <c r="AS18" s="52"/>
      <c r="AT18" s="52"/>
      <c r="AU18" s="52"/>
      <c r="AV18" s="52"/>
      <c r="AW18" s="52"/>
    </row>
    <row r="19" spans="2:49" s="3" customFormat="1" ht="15" customHeight="1">
      <c r="B19" s="165" t="s">
        <v>98</v>
      </c>
      <c r="C19" s="47">
        <f>VLOOKUP($B19,Unidades!$D$5:$N$29,6,FALSE())</f>
        <v>3140.36</v>
      </c>
      <c r="D19" s="47">
        <f>VLOOKUP($B19,Unidades!$D$5:$N$29,7,FALSE())</f>
        <v>2714.7</v>
      </c>
      <c r="E19" s="47">
        <f>VLOOKUP($B19,Unidades!$D$5:$N$29,8,FALSE())</f>
        <v>425.66</v>
      </c>
      <c r="F19" s="47">
        <f>VLOOKUP($B19,Unidades!$D$5:$N$29,9,FALSE())</f>
        <v>0</v>
      </c>
      <c r="G19" s="47">
        <f t="shared" si="0"/>
        <v>2863.6809999999996</v>
      </c>
      <c r="H19" s="48">
        <f t="shared" si="1"/>
        <v>3</v>
      </c>
      <c r="I19" s="48">
        <f t="shared" si="2"/>
        <v>3.5999999999999996</v>
      </c>
      <c r="J19" s="48" t="str">
        <f>VLOOKUP($B19,Unidades!$D$5:$N$29,10,FALSE())</f>
        <v>SIM</v>
      </c>
      <c r="K19" s="48" t="str">
        <f>VLOOKUP($B19,Unidades!$D$5:$N$29,11,FALSE())</f>
        <v>SIM</v>
      </c>
      <c r="L19" s="48">
        <f t="shared" si="3"/>
        <v>5.3000000000000007</v>
      </c>
      <c r="M19" s="48">
        <f t="shared" si="4"/>
        <v>9.3000000000000007</v>
      </c>
      <c r="N19" s="48">
        <f t="shared" si="5"/>
        <v>70.3</v>
      </c>
      <c r="O19" s="49">
        <f t="shared" si="6"/>
        <v>4765.6028285000002</v>
      </c>
      <c r="P19" s="50"/>
      <c r="Q19" s="16" t="str">
        <f t="shared" si="7"/>
        <v>GEX/APS MARINGÁ</v>
      </c>
      <c r="R19" s="18">
        <f t="shared" si="8"/>
        <v>187.231785</v>
      </c>
      <c r="S19" s="18">
        <f t="shared" si="9"/>
        <v>224.67814199999998</v>
      </c>
      <c r="T19" s="18">
        <f t="shared" si="10"/>
        <v>330.77615350000002</v>
      </c>
      <c r="U19" s="18">
        <f t="shared" si="11"/>
        <v>958.5565335</v>
      </c>
      <c r="V19" s="18">
        <f>VLOOKUP(Q19,'Desl. Base Maringá'!$C$5:$S$17,13,FALSE())*($C$23+$D$23+$E$23*(VLOOKUP(Q19,'Desl. Base Maringá'!$C$5:$S$17,17,FALSE())/12))</f>
        <v>0</v>
      </c>
      <c r="W19" s="18">
        <f>VLOOKUP(Q19,'Desl. Base Maringá'!$C$5:$S$17,15,FALSE())*(2+(VLOOKUP(Q19,'Desl. Base Maringá'!$C$5:$S$17,17,FALSE())/12))</f>
        <v>0</v>
      </c>
      <c r="X19" s="18">
        <f>VLOOKUP(Q19,'Desl. Base Maringá'!$C$5:$Q$19,14,FALSE())</f>
        <v>0</v>
      </c>
      <c r="Y19" s="18">
        <f>VLOOKUP(Q19,'Desl. Base Maringá'!$C$5:$Q$17,13,FALSE())*'Desl. Base Maringá'!$E$22+'Desl. Base Maringá'!$E$23*N19/12</f>
        <v>39.719500000000004</v>
      </c>
      <c r="Z19" s="18">
        <f>(H19/$AC$5)*'Equipe Técnica'!$C$13</f>
        <v>556.67532618888072</v>
      </c>
      <c r="AA19" s="18">
        <f>(I19/$AC$5)*'Equipe Técnica'!$C$13</f>
        <v>668.01039142665684</v>
      </c>
      <c r="AB19" s="18">
        <f>(L19/$AC$5)*'Equipe Técnica'!$C$13</f>
        <v>983.45974293368943</v>
      </c>
      <c r="AC19" s="18">
        <f>(M19/$AC$5)*'Equipe Técnica'!$C$13</f>
        <v>1725.6935111855303</v>
      </c>
      <c r="AD19" s="18">
        <f t="shared" si="12"/>
        <v>768.99311118888068</v>
      </c>
      <c r="AE19" s="18">
        <f t="shared" si="13"/>
        <v>917.77453342665683</v>
      </c>
      <c r="AF19" s="18">
        <f t="shared" si="14"/>
        <v>1339.3218964336895</v>
      </c>
      <c r="AG19" s="18">
        <f t="shared" si="15"/>
        <v>2709.3360446855304</v>
      </c>
      <c r="AI19" s="16" t="str">
        <f t="shared" si="16"/>
        <v>GEX/APS MARINGÁ</v>
      </c>
      <c r="AJ19" s="51">
        <f>VLOOKUP(AI19,Unidades!D$5:H$29,5,)</f>
        <v>0.28489999999999999</v>
      </c>
      <c r="AK19" s="33">
        <f t="shared" si="17"/>
        <v>988.0792485665927</v>
      </c>
      <c r="AL19" s="33">
        <f t="shared" si="18"/>
        <v>1179.2484979999113</v>
      </c>
      <c r="AM19" s="33">
        <f t="shared" si="19"/>
        <v>1720.8947047276476</v>
      </c>
      <c r="AN19" s="33">
        <f t="shared" si="20"/>
        <v>3481.225883816438</v>
      </c>
      <c r="AO19" s="33">
        <f t="shared" si="21"/>
        <v>1958.0800223392077</v>
      </c>
      <c r="AP19" s="33">
        <f t="shared" si="23"/>
        <v>5874.240067017623</v>
      </c>
      <c r="AQ19" s="33">
        <f t="shared" si="22"/>
        <v>7832.320089356831</v>
      </c>
      <c r="AR19" s="52"/>
      <c r="AS19" s="52"/>
      <c r="AT19" s="52"/>
      <c r="AU19" s="52"/>
      <c r="AV19" s="52"/>
      <c r="AW19" s="52"/>
    </row>
    <row r="20" spans="2:49" s="39" customFormat="1" ht="19.5" customHeight="1">
      <c r="B20" s="57" t="s">
        <v>99</v>
      </c>
      <c r="C20" s="58">
        <f t="shared" ref="C20:I20" si="24">SUM(C7:C19)</f>
        <v>16118.64</v>
      </c>
      <c r="D20" s="58">
        <f t="shared" si="24"/>
        <v>11037.32</v>
      </c>
      <c r="E20" s="58">
        <f t="shared" si="24"/>
        <v>3353.5</v>
      </c>
      <c r="F20" s="58">
        <f t="shared" si="24"/>
        <v>1727.82</v>
      </c>
      <c r="G20" s="58">
        <f t="shared" si="24"/>
        <v>12383.826999999997</v>
      </c>
      <c r="H20" s="59">
        <f t="shared" si="24"/>
        <v>24</v>
      </c>
      <c r="I20" s="59">
        <f t="shared" si="24"/>
        <v>28.799999999999997</v>
      </c>
      <c r="J20" s="59">
        <f>COUNTIF(J7:J19,"SIM")</f>
        <v>4</v>
      </c>
      <c r="K20" s="59">
        <f>COUNTIF(K7:K19,"SIM")</f>
        <v>5</v>
      </c>
      <c r="L20" s="59">
        <f>SUM(L7:L19)</f>
        <v>34.400000000000006</v>
      </c>
      <c r="M20" s="59">
        <f>SUM(M7:M19)</f>
        <v>54.399999999999991</v>
      </c>
      <c r="N20" s="59">
        <f>SUM(N7:N19)</f>
        <v>526.4</v>
      </c>
      <c r="O20" s="60">
        <f>SUM(O7:O19)</f>
        <v>34505.766208000001</v>
      </c>
      <c r="P20" s="61"/>
      <c r="Q20" s="59" t="s">
        <v>99</v>
      </c>
      <c r="R20" s="62">
        <f t="shared" ref="R20:AG20" si="25">SUM(R7:R19)</f>
        <v>1497.85428</v>
      </c>
      <c r="S20" s="62">
        <f t="shared" si="25"/>
        <v>1797.4251359999998</v>
      </c>
      <c r="T20" s="62">
        <f t="shared" si="25"/>
        <v>2146.9244680000002</v>
      </c>
      <c r="U20" s="62">
        <f t="shared" si="25"/>
        <v>5047.9653679999992</v>
      </c>
      <c r="V20" s="62">
        <f t="shared" si="25"/>
        <v>1189.7126106666667</v>
      </c>
      <c r="W20" s="62">
        <f t="shared" si="25"/>
        <v>0</v>
      </c>
      <c r="X20" s="62">
        <f t="shared" si="25"/>
        <v>0</v>
      </c>
      <c r="Y20" s="62">
        <f t="shared" si="25"/>
        <v>1349.7386666666666</v>
      </c>
      <c r="Z20" s="62">
        <f t="shared" si="25"/>
        <v>4453.4026095110457</v>
      </c>
      <c r="AA20" s="62">
        <f t="shared" si="25"/>
        <v>5344.0831314132538</v>
      </c>
      <c r="AB20" s="62">
        <f t="shared" si="25"/>
        <v>6383.2104069658317</v>
      </c>
      <c r="AC20" s="62">
        <f t="shared" si="25"/>
        <v>10094.379248225037</v>
      </c>
      <c r="AD20" s="62">
        <f t="shared" si="25"/>
        <v>7555.1208541426258</v>
      </c>
      <c r="AE20" s="62">
        <f t="shared" si="25"/>
        <v>8745.3722320448342</v>
      </c>
      <c r="AF20" s="62">
        <f t="shared" si="25"/>
        <v>10133.998839597414</v>
      </c>
      <c r="AG20" s="62">
        <f t="shared" si="25"/>
        <v>16746.208580856619</v>
      </c>
      <c r="AI20" s="205" t="s">
        <v>99</v>
      </c>
      <c r="AJ20" s="205"/>
      <c r="AK20" s="63">
        <f t="shared" ref="AK20:AQ20" si="26">SUM(AK7:AK19)</f>
        <v>9739.0381888646716</v>
      </c>
      <c r="AL20" s="63">
        <f t="shared" si="26"/>
        <v>11272.825870713905</v>
      </c>
      <c r="AM20" s="63">
        <f t="shared" si="26"/>
        <v>13069.535122560996</v>
      </c>
      <c r="AN20" s="63">
        <f t="shared" si="26"/>
        <v>21639.949869936983</v>
      </c>
      <c r="AO20" s="63">
        <f t="shared" si="26"/>
        <v>17478.23182202422</v>
      </c>
      <c r="AP20" s="63">
        <f t="shared" si="26"/>
        <v>52434.695466072655</v>
      </c>
      <c r="AQ20" s="63">
        <f t="shared" si="26"/>
        <v>69912.927288096878</v>
      </c>
    </row>
    <row r="21" spans="2:49" ht="18" customHeight="1">
      <c r="H21" s="64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40"/>
      <c r="AE21" s="40"/>
      <c r="AF21" s="40"/>
      <c r="AG21" s="40"/>
    </row>
    <row r="22" spans="2:49" ht="39.75" customHeight="1">
      <c r="B22" s="199" t="s">
        <v>30</v>
      </c>
      <c r="C22" s="66" t="s">
        <v>100</v>
      </c>
      <c r="D22" s="66" t="s">
        <v>101</v>
      </c>
      <c r="E22" s="66" t="s">
        <v>102</v>
      </c>
      <c r="R22" s="21"/>
      <c r="Z22" s="21"/>
      <c r="AA22" s="21"/>
      <c r="AB22" s="21"/>
      <c r="AC22" s="21"/>
    </row>
    <row r="23" spans="2:49" ht="18" customHeight="1">
      <c r="B23" s="199"/>
      <c r="C23" s="18">
        <f>'Comp. Oficial de Manutenção'!D11</f>
        <v>34.720594999999996</v>
      </c>
      <c r="D23" s="18">
        <v>27.69</v>
      </c>
      <c r="E23" s="18">
        <v>40.659999999999997</v>
      </c>
    </row>
    <row r="24" spans="2:49" ht="28.5" customHeight="1">
      <c r="B24" s="36" t="str">
        <f>'Equipe Técnica'!B9</f>
        <v>* SINAPI Maio/2025 (Desonerado)</v>
      </c>
    </row>
    <row r="25" spans="2:49" ht="23.25" customHeight="1"/>
  </sheetData>
  <mergeCells count="44">
    <mergeCell ref="AI20:AJ20"/>
    <mergeCell ref="B22:B23"/>
    <mergeCell ref="AT11:AU11"/>
    <mergeCell ref="AT12:AU12"/>
    <mergeCell ref="AT13:AU13"/>
    <mergeCell ref="AT14:AU14"/>
    <mergeCell ref="AT15:AU15"/>
    <mergeCell ref="AN5:AN6"/>
    <mergeCell ref="AO5:AO6"/>
    <mergeCell ref="AQ5:AQ6"/>
    <mergeCell ref="AS5:AS6"/>
    <mergeCell ref="AT10:AU10"/>
    <mergeCell ref="AP5:AP6"/>
    <mergeCell ref="AG5:AG6"/>
    <mergeCell ref="AJ5:AJ6"/>
    <mergeCell ref="AK5:AK6"/>
    <mergeCell ref="AL5:AL6"/>
    <mergeCell ref="AM5:AM6"/>
    <mergeCell ref="Y5:Y6"/>
    <mergeCell ref="Z5:AB5"/>
    <mergeCell ref="AD5:AD6"/>
    <mergeCell ref="AE5:AE6"/>
    <mergeCell ref="AF5:AF6"/>
    <mergeCell ref="G5:G6"/>
    <mergeCell ref="N5:N6"/>
    <mergeCell ref="V5:V6"/>
    <mergeCell ref="W5:W6"/>
    <mergeCell ref="X5:X6"/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B1:IZ37"/>
  <sheetViews>
    <sheetView showGridLines="0" zoomScale="110" zoomScaleNormal="110" workbookViewId="0">
      <selection activeCell="M22" sqref="M22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10" t="str">
        <f>"DESLOCAMENTO BASE "&amp;Resumo!B5</f>
        <v>DESLOCAMENTO BASE MARINGÁ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192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103</v>
      </c>
      <c r="C4" s="15" t="str">
        <f>"Rota (saída e retorno "&amp;Resumo!B5&amp;")"</f>
        <v>Rota (saída e retorno MARINGÁ)</v>
      </c>
      <c r="D4" s="15" t="s">
        <v>104</v>
      </c>
      <c r="E4" s="15" t="s">
        <v>105</v>
      </c>
      <c r="F4" s="15" t="s">
        <v>106</v>
      </c>
      <c r="G4" s="15" t="s">
        <v>107</v>
      </c>
      <c r="H4" s="15" t="s">
        <v>108</v>
      </c>
      <c r="I4" s="15" t="s">
        <v>109</v>
      </c>
      <c r="J4" s="15" t="s">
        <v>110</v>
      </c>
      <c r="K4" s="15" t="s">
        <v>111</v>
      </c>
      <c r="L4" s="15" t="s">
        <v>112</v>
      </c>
      <c r="M4" s="70" t="s">
        <v>113</v>
      </c>
      <c r="N4" s="15" t="s">
        <v>114</v>
      </c>
      <c r="O4" s="15" t="s">
        <v>115</v>
      </c>
      <c r="P4" s="15" t="s">
        <v>116</v>
      </c>
      <c r="Q4" s="15" t="s">
        <v>67</v>
      </c>
      <c r="R4" s="15" t="s">
        <v>117</v>
      </c>
      <c r="S4" s="15" t="s">
        <v>118</v>
      </c>
    </row>
    <row r="5" spans="2:19" ht="15.75" customHeight="1">
      <c r="B5" s="71">
        <v>1</v>
      </c>
      <c r="C5" s="56" t="s">
        <v>98</v>
      </c>
      <c r="D5" s="72">
        <v>0</v>
      </c>
      <c r="E5" s="72">
        <v>0</v>
      </c>
      <c r="F5" s="72">
        <v>0</v>
      </c>
      <c r="G5" s="177">
        <f>SUM(D5:F5)</f>
        <v>0</v>
      </c>
      <c r="H5" s="72">
        <v>0</v>
      </c>
      <c r="I5" s="72">
        <v>0</v>
      </c>
      <c r="J5" s="72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78">
        <v>0</v>
      </c>
      <c r="R5" s="168" t="str">
        <f>INDEX('Base Maringá'!K$7:K$19,MATCH('Desl. Base Maringá'!C5,'Base Maringá'!B$7:B$19,0))</f>
        <v>SIM</v>
      </c>
      <c r="S5" s="179">
        <v>1</v>
      </c>
    </row>
    <row r="6" spans="2:19" ht="15.75" customHeight="1">
      <c r="B6" s="71">
        <v>2</v>
      </c>
      <c r="C6" s="56" t="s">
        <v>81</v>
      </c>
      <c r="D6" s="72">
        <v>48.1</v>
      </c>
      <c r="E6" s="72">
        <v>49.1</v>
      </c>
      <c r="F6" s="72">
        <v>0</v>
      </c>
      <c r="G6" s="177">
        <f>SUM(D6:F6)</f>
        <v>97.2</v>
      </c>
      <c r="H6" s="72">
        <v>58</v>
      </c>
      <c r="I6" s="72">
        <v>59</v>
      </c>
      <c r="J6" s="72">
        <v>0</v>
      </c>
      <c r="K6" s="74">
        <f>SUM(H6:J6)</f>
        <v>117</v>
      </c>
      <c r="L6" s="77">
        <f>K6/60</f>
        <v>1.95</v>
      </c>
      <c r="M6" s="76">
        <v>0</v>
      </c>
      <c r="N6" s="74">
        <v>1</v>
      </c>
      <c r="O6" s="77">
        <f>L6/N6</f>
        <v>1.95</v>
      </c>
      <c r="P6" s="178">
        <v>0</v>
      </c>
      <c r="Q6" s="178">
        <v>0</v>
      </c>
      <c r="R6" s="168" t="str">
        <f>INDEX('Base Maringá'!K$7:K$19,MATCH('Desl. Base Maringá'!C6,'Base Maringá'!B$7:B$19,0))</f>
        <v>NÃO</v>
      </c>
      <c r="S6" s="179">
        <v>0</v>
      </c>
    </row>
    <row r="7" spans="2:19" ht="15.75" customHeight="1">
      <c r="B7" s="211">
        <v>3</v>
      </c>
      <c r="C7" s="56" t="s">
        <v>97</v>
      </c>
      <c r="D7" s="209">
        <v>2.9</v>
      </c>
      <c r="E7" s="209">
        <v>33</v>
      </c>
      <c r="F7" s="209">
        <v>36.5</v>
      </c>
      <c r="G7" s="208">
        <f>SUM(D7:F8)</f>
        <v>72.400000000000006</v>
      </c>
      <c r="H7" s="209">
        <v>10</v>
      </c>
      <c r="I7" s="209">
        <v>35</v>
      </c>
      <c r="J7" s="209">
        <v>45</v>
      </c>
      <c r="K7" s="207">
        <f>SUM(H7:J8)</f>
        <v>90</v>
      </c>
      <c r="L7" s="206">
        <f>K7/60</f>
        <v>1.5</v>
      </c>
      <c r="M7" s="76">
        <v>0</v>
      </c>
      <c r="N7" s="207">
        <v>2</v>
      </c>
      <c r="O7" s="75">
        <f>L7/N7</f>
        <v>0.75</v>
      </c>
      <c r="P7" s="76">
        <v>0</v>
      </c>
      <c r="Q7" s="76">
        <v>0</v>
      </c>
      <c r="R7" s="168" t="str">
        <f>INDEX('Base Maringá'!K$7:K$19,MATCH('Desl. Base Maringá'!C7,'Base Maringá'!B$7:B$19,0))</f>
        <v>NÃO</v>
      </c>
      <c r="S7" s="179">
        <v>0</v>
      </c>
    </row>
    <row r="8" spans="2:19" ht="15.75" customHeight="1">
      <c r="B8" s="211"/>
      <c r="C8" s="56" t="s">
        <v>90</v>
      </c>
      <c r="D8" s="209"/>
      <c r="E8" s="209"/>
      <c r="F8" s="209"/>
      <c r="G8" s="208"/>
      <c r="H8" s="209"/>
      <c r="I8" s="209"/>
      <c r="J8" s="209"/>
      <c r="K8" s="207"/>
      <c r="L8" s="206"/>
      <c r="M8" s="76">
        <v>0</v>
      </c>
      <c r="N8" s="207"/>
      <c r="O8" s="75">
        <f>O7</f>
        <v>0.75</v>
      </c>
      <c r="P8" s="76">
        <v>0</v>
      </c>
      <c r="Q8" s="76">
        <v>0</v>
      </c>
      <c r="R8" s="168" t="str">
        <f>INDEX('Base Maringá'!K$7:K$19,MATCH('Desl. Base Maringá'!C8,'Base Maringá'!B$7:B$19,0))</f>
        <v>NÃO</v>
      </c>
      <c r="S8" s="179">
        <v>0</v>
      </c>
    </row>
    <row r="9" spans="2:19" ht="15.75" customHeight="1">
      <c r="B9" s="211">
        <v>4</v>
      </c>
      <c r="C9" s="56" t="s">
        <v>95</v>
      </c>
      <c r="D9" s="209">
        <v>43.6</v>
      </c>
      <c r="E9" s="209">
        <f>75.8-D9</f>
        <v>32.199999999999996</v>
      </c>
      <c r="F9" s="209">
        <v>73.099999999999994</v>
      </c>
      <c r="G9" s="208">
        <f>SUM(D9:F10)</f>
        <v>148.89999999999998</v>
      </c>
      <c r="H9" s="209">
        <v>57</v>
      </c>
      <c r="I9" s="209">
        <f>74-H9</f>
        <v>17</v>
      </c>
      <c r="J9" s="209">
        <v>69</v>
      </c>
      <c r="K9" s="207">
        <f>SUM(H9:J10)</f>
        <v>143</v>
      </c>
      <c r="L9" s="206">
        <f>K9/60</f>
        <v>2.3833333333333333</v>
      </c>
      <c r="M9" s="76">
        <v>0</v>
      </c>
      <c r="N9" s="207">
        <v>2</v>
      </c>
      <c r="O9" s="75">
        <f>L9/N9</f>
        <v>1.1916666666666667</v>
      </c>
      <c r="P9" s="76">
        <v>0</v>
      </c>
      <c r="Q9" s="76">
        <v>0</v>
      </c>
      <c r="R9" s="168" t="str">
        <f>INDEX('Base Maringá'!K$7:K$19,MATCH('Desl. Base Maringá'!C9,'Base Maringá'!B$7:B$19,0))</f>
        <v>SIM</v>
      </c>
      <c r="S9" s="179">
        <v>1</v>
      </c>
    </row>
    <row r="10" spans="2:19" ht="15.75" customHeight="1">
      <c r="B10" s="211"/>
      <c r="C10" s="56" t="s">
        <v>89</v>
      </c>
      <c r="D10" s="209"/>
      <c r="E10" s="209"/>
      <c r="F10" s="209"/>
      <c r="G10" s="208"/>
      <c r="H10" s="209"/>
      <c r="I10" s="209"/>
      <c r="J10" s="209"/>
      <c r="K10" s="207"/>
      <c r="L10" s="206"/>
      <c r="M10" s="76">
        <v>0</v>
      </c>
      <c r="N10" s="207"/>
      <c r="O10" s="75">
        <f>O9</f>
        <v>1.1916666666666667</v>
      </c>
      <c r="P10" s="76">
        <v>0</v>
      </c>
      <c r="Q10" s="76">
        <v>0</v>
      </c>
      <c r="R10" s="168" t="str">
        <f>INDEX('Base Maringá'!K$7:K$19,MATCH('Desl. Base Maringá'!C10,'Base Maringá'!B$7:B$19,0))</f>
        <v>SIM</v>
      </c>
      <c r="S10" s="179">
        <v>1</v>
      </c>
    </row>
    <row r="11" spans="2:19" ht="15.75" customHeight="1">
      <c r="B11" s="211">
        <v>5</v>
      </c>
      <c r="C11" s="56" t="s">
        <v>92</v>
      </c>
      <c r="D11" s="209">
        <v>43.6</v>
      </c>
      <c r="E11" s="209">
        <f>94-D11</f>
        <v>50.4</v>
      </c>
      <c r="F11" s="209">
        <v>92.3</v>
      </c>
      <c r="G11" s="208">
        <f>SUM(D11:F12)</f>
        <v>186.3</v>
      </c>
      <c r="H11" s="209">
        <v>46</v>
      </c>
      <c r="I11" s="209">
        <f>85-H11</f>
        <v>39</v>
      </c>
      <c r="J11" s="209">
        <v>82</v>
      </c>
      <c r="K11" s="207">
        <f>SUM(H11:J12)</f>
        <v>167</v>
      </c>
      <c r="L11" s="206">
        <f>K11/60</f>
        <v>2.7833333333333332</v>
      </c>
      <c r="M11" s="76">
        <v>0</v>
      </c>
      <c r="N11" s="207">
        <v>2</v>
      </c>
      <c r="O11" s="75">
        <f>L11/N11</f>
        <v>1.3916666666666666</v>
      </c>
      <c r="P11" s="76">
        <v>0</v>
      </c>
      <c r="Q11" s="76">
        <v>0</v>
      </c>
      <c r="R11" s="168" t="str">
        <f>INDEX('Base Maringá'!K$7:K$19,MATCH('Desl. Base Maringá'!C11,'Base Maringá'!B$7:B$19,0))</f>
        <v>NÃO</v>
      </c>
      <c r="S11" s="179">
        <v>0</v>
      </c>
    </row>
    <row r="12" spans="2:19" ht="15.75" customHeight="1">
      <c r="B12" s="211"/>
      <c r="C12" s="56" t="s">
        <v>86</v>
      </c>
      <c r="D12" s="209"/>
      <c r="E12" s="209"/>
      <c r="F12" s="209"/>
      <c r="G12" s="208"/>
      <c r="H12" s="209"/>
      <c r="I12" s="209"/>
      <c r="J12" s="209"/>
      <c r="K12" s="207"/>
      <c r="L12" s="206"/>
      <c r="M12" s="76">
        <v>0</v>
      </c>
      <c r="N12" s="207"/>
      <c r="O12" s="75">
        <f>O11</f>
        <v>1.3916666666666666</v>
      </c>
      <c r="P12" s="76">
        <v>0</v>
      </c>
      <c r="Q12" s="76">
        <v>0</v>
      </c>
      <c r="R12" s="168" t="str">
        <f>INDEX('Base Maringá'!K$7:K$19,MATCH('Desl. Base Maringá'!C12,'Base Maringá'!B$7:B$19,0))</f>
        <v>NÃO</v>
      </c>
      <c r="S12" s="179">
        <v>0</v>
      </c>
    </row>
    <row r="13" spans="2:19" ht="15.75" customHeight="1">
      <c r="B13" s="211">
        <v>6</v>
      </c>
      <c r="C13" s="56" t="s">
        <v>87</v>
      </c>
      <c r="D13" s="209">
        <v>134</v>
      </c>
      <c r="E13" s="209">
        <f>163-D13</f>
        <v>29</v>
      </c>
      <c r="F13" s="209">
        <v>162</v>
      </c>
      <c r="G13" s="208">
        <f>SUM(D13:F14)</f>
        <v>325</v>
      </c>
      <c r="H13" s="209">
        <v>114</v>
      </c>
      <c r="I13" s="209">
        <f>144-H13</f>
        <v>30</v>
      </c>
      <c r="J13" s="209">
        <v>142</v>
      </c>
      <c r="K13" s="207">
        <f>SUM(H13:J14)</f>
        <v>286</v>
      </c>
      <c r="L13" s="206">
        <f>K13/60</f>
        <v>4.7666666666666666</v>
      </c>
      <c r="M13" s="76">
        <v>0</v>
      </c>
      <c r="N13" s="207">
        <v>2</v>
      </c>
      <c r="O13" s="75">
        <f>L13/N13</f>
        <v>2.3833333333333333</v>
      </c>
      <c r="P13" s="76">
        <v>0</v>
      </c>
      <c r="Q13" s="76">
        <v>0</v>
      </c>
      <c r="R13" s="168" t="str">
        <f>INDEX('Base Maringá'!K$7:K$19,MATCH('Desl. Base Maringá'!C13,'Base Maringá'!B$7:B$19,0))</f>
        <v>NÃO</v>
      </c>
      <c r="S13" s="179">
        <v>1</v>
      </c>
    </row>
    <row r="14" spans="2:19" ht="15.75" customHeight="1">
      <c r="B14" s="211"/>
      <c r="C14" s="56" t="s">
        <v>96</v>
      </c>
      <c r="D14" s="209"/>
      <c r="E14" s="209"/>
      <c r="F14" s="209"/>
      <c r="G14" s="208"/>
      <c r="H14" s="209"/>
      <c r="I14" s="209"/>
      <c r="J14" s="209"/>
      <c r="K14" s="207"/>
      <c r="L14" s="206"/>
      <c r="M14" s="76">
        <v>0</v>
      </c>
      <c r="N14" s="207"/>
      <c r="O14" s="75">
        <f>O13</f>
        <v>2.3833333333333333</v>
      </c>
      <c r="P14" s="76">
        <v>0</v>
      </c>
      <c r="Q14" s="76">
        <v>0</v>
      </c>
      <c r="R14" s="168" t="str">
        <f>INDEX('Base Maringá'!K$7:K$19,MATCH('Desl. Base Maringá'!C14,'Base Maringá'!B$7:B$19,0))</f>
        <v>SIM</v>
      </c>
      <c r="S14" s="179">
        <v>1</v>
      </c>
    </row>
    <row r="15" spans="2:19" ht="15.75" customHeight="1">
      <c r="B15" s="211">
        <v>7</v>
      </c>
      <c r="C15" s="56" t="s">
        <v>93</v>
      </c>
      <c r="D15" s="209">
        <v>14.2</v>
      </c>
      <c r="E15" s="209">
        <f>80.6-D15</f>
        <v>66.399999999999991</v>
      </c>
      <c r="F15" s="209">
        <v>79.900000000000006</v>
      </c>
      <c r="G15" s="208">
        <f>SUM(D15:F16)</f>
        <v>160.5</v>
      </c>
      <c r="H15" s="209">
        <v>21</v>
      </c>
      <c r="I15" s="209">
        <f>77-H15</f>
        <v>56</v>
      </c>
      <c r="J15" s="209">
        <v>76</v>
      </c>
      <c r="K15" s="207">
        <f>SUM(H15:J16)</f>
        <v>153</v>
      </c>
      <c r="L15" s="206">
        <f>K15/60</f>
        <v>2.5499999999999998</v>
      </c>
      <c r="M15" s="76">
        <v>0</v>
      </c>
      <c r="N15" s="207">
        <v>2</v>
      </c>
      <c r="O15" s="75">
        <f>L15/N15</f>
        <v>1.2749999999999999</v>
      </c>
      <c r="P15" s="76">
        <v>0</v>
      </c>
      <c r="Q15" s="76">
        <v>0</v>
      </c>
      <c r="R15" s="168" t="str">
        <f>INDEX('Base Maringá'!K$7:K$19,MATCH('Desl. Base Maringá'!C15,'Base Maringá'!B$7:B$19,0))</f>
        <v>NÃO</v>
      </c>
      <c r="S15" s="179">
        <v>0</v>
      </c>
    </row>
    <row r="16" spans="2:19" ht="15.75" customHeight="1">
      <c r="B16" s="211"/>
      <c r="C16" s="56" t="s">
        <v>85</v>
      </c>
      <c r="D16" s="209"/>
      <c r="E16" s="209"/>
      <c r="F16" s="209"/>
      <c r="G16" s="208"/>
      <c r="H16" s="209"/>
      <c r="I16" s="209"/>
      <c r="J16" s="209"/>
      <c r="K16" s="207"/>
      <c r="L16" s="206"/>
      <c r="M16" s="76">
        <v>0</v>
      </c>
      <c r="N16" s="207"/>
      <c r="O16" s="75">
        <f>O15</f>
        <v>1.2749999999999999</v>
      </c>
      <c r="P16" s="76">
        <v>0</v>
      </c>
      <c r="Q16" s="76">
        <v>0</v>
      </c>
      <c r="R16" s="168" t="str">
        <f>INDEX('Base Maringá'!K$7:K$19,MATCH('Desl. Base Maringá'!C16,'Base Maringá'!B$7:B$19,0))</f>
        <v>NÃO</v>
      </c>
      <c r="S16" s="179">
        <v>0</v>
      </c>
    </row>
    <row r="17" spans="2:19" ht="15.75" customHeight="1">
      <c r="B17" s="71">
        <v>8</v>
      </c>
      <c r="C17" s="56" t="s">
        <v>83</v>
      </c>
      <c r="D17" s="72">
        <v>89.8</v>
      </c>
      <c r="E17" s="72">
        <v>90</v>
      </c>
      <c r="F17" s="72">
        <v>0</v>
      </c>
      <c r="G17" s="73">
        <f>SUM(D17:F17)</f>
        <v>179.8</v>
      </c>
      <c r="H17" s="72">
        <v>79</v>
      </c>
      <c r="I17" s="72">
        <v>77</v>
      </c>
      <c r="J17" s="72">
        <v>0</v>
      </c>
      <c r="K17" s="74">
        <f>SUM(H17:J17)</f>
        <v>156</v>
      </c>
      <c r="L17" s="75">
        <f>K17/60</f>
        <v>2.6</v>
      </c>
      <c r="M17" s="76">
        <v>0</v>
      </c>
      <c r="N17" s="74">
        <v>1</v>
      </c>
      <c r="O17" s="75">
        <f>L17</f>
        <v>2.6</v>
      </c>
      <c r="P17" s="76">
        <v>0</v>
      </c>
      <c r="Q17" s="76">
        <v>0</v>
      </c>
      <c r="R17" s="168" t="str">
        <f>INDEX('Base Maringá'!K$7:K$19,MATCH('Desl. Base Maringá'!C17,'Base Maringá'!B$7:B$19,0))</f>
        <v>SIM</v>
      </c>
      <c r="S17" s="179">
        <v>1</v>
      </c>
    </row>
    <row r="18" spans="2:19" ht="19.5" customHeight="1">
      <c r="B18" s="214" t="s">
        <v>99</v>
      </c>
      <c r="C18" s="214"/>
      <c r="D18" s="214"/>
      <c r="E18" s="214"/>
      <c r="F18" s="214"/>
      <c r="G18" s="78">
        <f>SUM(G5:G17)</f>
        <v>1170.0999999999999</v>
      </c>
      <c r="H18" s="215" t="s">
        <v>99</v>
      </c>
      <c r="I18" s="215"/>
      <c r="J18" s="215"/>
      <c r="K18" s="79">
        <f t="shared" ref="K18:Q18" si="0">SUM(K5:K17)</f>
        <v>1112</v>
      </c>
      <c r="L18" s="80">
        <f t="shared" si="0"/>
        <v>18.533333333333335</v>
      </c>
      <c r="M18" s="81">
        <f t="shared" si="0"/>
        <v>0</v>
      </c>
      <c r="N18" s="82">
        <f t="shared" si="0"/>
        <v>13</v>
      </c>
      <c r="O18" s="175">
        <f t="shared" si="0"/>
        <v>18.533333333333335</v>
      </c>
      <c r="P18" s="81">
        <f t="shared" si="0"/>
        <v>0</v>
      </c>
      <c r="Q18" s="81">
        <f t="shared" si="0"/>
        <v>0</v>
      </c>
      <c r="R18" s="81"/>
      <c r="S18" s="81"/>
    </row>
    <row r="19" spans="2:19" ht="16.5" customHeight="1">
      <c r="B19" s="83"/>
      <c r="C19" s="83"/>
      <c r="D19" s="83"/>
      <c r="E19" s="83"/>
      <c r="F19" s="83"/>
    </row>
    <row r="20" spans="2:19" ht="18.75" customHeight="1">
      <c r="B20" s="216" t="s">
        <v>119</v>
      </c>
      <c r="C20" s="216"/>
      <c r="D20" s="216"/>
      <c r="E20" s="216"/>
      <c r="F20" s="83"/>
      <c r="G20" s="83"/>
      <c r="H20" s="83"/>
      <c r="I20" s="83"/>
      <c r="J20" s="83"/>
      <c r="K20" s="83"/>
      <c r="L20" s="83"/>
      <c r="M20" s="83"/>
      <c r="N20" s="84"/>
      <c r="O20" s="84"/>
    </row>
    <row r="21" spans="2:19" ht="18.75" customHeight="1">
      <c r="B21" s="85" t="s">
        <v>120</v>
      </c>
      <c r="C21" s="85" t="s">
        <v>121</v>
      </c>
      <c r="D21" s="85" t="s">
        <v>122</v>
      </c>
      <c r="E21" s="85" t="s">
        <v>123</v>
      </c>
      <c r="F21" s="83"/>
      <c r="G21" s="83"/>
      <c r="H21" s="84"/>
      <c r="I21" s="84"/>
      <c r="J21" s="83"/>
      <c r="K21" s="83"/>
      <c r="L21" s="83"/>
      <c r="M21" s="83"/>
      <c r="N21" s="84"/>
      <c r="O21" s="84"/>
    </row>
    <row r="22" spans="2:19" ht="18.75" customHeight="1">
      <c r="B22" s="35" t="s">
        <v>124</v>
      </c>
      <c r="C22" s="86" t="s">
        <v>125</v>
      </c>
      <c r="D22" s="35" t="s">
        <v>126</v>
      </c>
      <c r="E22" s="87">
        <f>'Comp. Veículo'!D11</f>
        <v>56.78</v>
      </c>
      <c r="F22" s="83"/>
      <c r="G22" s="83"/>
      <c r="H22" s="88"/>
      <c r="I22" s="88"/>
      <c r="J22" s="83"/>
      <c r="K22" s="83"/>
      <c r="L22" s="83"/>
      <c r="M22" s="83"/>
      <c r="N22" s="84"/>
      <c r="O22" s="84"/>
    </row>
    <row r="23" spans="2:19" ht="18.75" customHeight="1">
      <c r="B23" s="89" t="s">
        <v>127</v>
      </c>
      <c r="C23" s="90" t="s">
        <v>125</v>
      </c>
      <c r="D23" s="89" t="s">
        <v>128</v>
      </c>
      <c r="E23" s="91">
        <f>'Comp. Veículo'!D27</f>
        <v>6.78</v>
      </c>
      <c r="F23" s="83"/>
      <c r="G23" s="83"/>
      <c r="H23" s="88"/>
      <c r="I23" s="88"/>
      <c r="J23" s="83"/>
      <c r="K23" s="83"/>
      <c r="L23" s="83"/>
      <c r="M23" s="83"/>
      <c r="N23" s="84"/>
      <c r="O23" s="84"/>
    </row>
    <row r="24" spans="2:19" ht="47.25" customHeight="1">
      <c r="B24" s="217" t="s">
        <v>129</v>
      </c>
      <c r="C24" s="217"/>
      <c r="D24" s="217"/>
      <c r="E24" s="217"/>
      <c r="F24" s="92"/>
      <c r="G24" s="92"/>
      <c r="H24" s="92"/>
      <c r="I24" s="92"/>
      <c r="J24" s="92"/>
      <c r="K24" s="92"/>
      <c r="L24" s="92"/>
      <c r="M24" s="83"/>
      <c r="N24" s="84"/>
      <c r="O24" s="84"/>
    </row>
    <row r="25" spans="2:19" ht="16.5" customHeight="1">
      <c r="B25" s="93"/>
      <c r="C25" s="93"/>
      <c r="D25" s="93"/>
      <c r="E25" s="93"/>
      <c r="F25" s="92"/>
      <c r="G25" s="92"/>
      <c r="H25" s="92"/>
      <c r="I25" s="92"/>
      <c r="J25" s="92"/>
      <c r="K25" s="92"/>
      <c r="L25" s="92"/>
      <c r="M25" s="83"/>
      <c r="N25" s="84"/>
      <c r="O25" s="84"/>
    </row>
    <row r="26" spans="2:19" ht="16.5" customHeight="1">
      <c r="B26" s="216" t="s">
        <v>130</v>
      </c>
      <c r="C26" s="216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84"/>
    </row>
    <row r="27" spans="2:19" ht="16.5" customHeight="1">
      <c r="B27" s="35" t="s">
        <v>126</v>
      </c>
      <c r="C27" s="87">
        <f>E22*L18</f>
        <v>1052.3226666666667</v>
      </c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/>
      <c r="O27" s="84"/>
    </row>
    <row r="28" spans="2:19" ht="16.5" customHeight="1">
      <c r="B28" s="35" t="s">
        <v>128</v>
      </c>
      <c r="C28" s="87">
        <f>E23*('Base Maringá'!N20/12)</f>
        <v>297.416</v>
      </c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/>
      <c r="O28" s="84"/>
    </row>
    <row r="29" spans="2:19" ht="16.5" customHeight="1">
      <c r="B29" s="94" t="s">
        <v>28</v>
      </c>
      <c r="C29" s="95">
        <f>C27+C28</f>
        <v>1349.7386666666666</v>
      </c>
      <c r="D29" s="83"/>
      <c r="E29" s="83"/>
      <c r="F29" s="83"/>
      <c r="G29" s="83"/>
      <c r="H29" s="83"/>
      <c r="I29" s="83"/>
      <c r="M29" s="83"/>
      <c r="N29" s="84"/>
      <c r="O29" s="84"/>
    </row>
    <row r="30" spans="2:19" ht="16.5" customHeight="1">
      <c r="B30" s="83"/>
      <c r="C30" s="96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/>
      <c r="O30" s="84"/>
    </row>
    <row r="31" spans="2:19" ht="16.5" customHeight="1">
      <c r="B31" s="218" t="s">
        <v>131</v>
      </c>
      <c r="C31" s="218"/>
      <c r="D31" s="83"/>
      <c r="J31" s="83"/>
      <c r="K31" s="83"/>
      <c r="L31" s="83"/>
      <c r="M31" s="83"/>
      <c r="N31" s="84"/>
      <c r="O31" s="84"/>
    </row>
    <row r="32" spans="2:19" ht="16.5" customHeight="1">
      <c r="B32" s="97" t="s">
        <v>123</v>
      </c>
      <c r="C32" s="98">
        <f>SUM(M5:M17)</f>
        <v>0</v>
      </c>
      <c r="J32" s="83"/>
      <c r="K32" s="83"/>
      <c r="L32" s="83"/>
      <c r="M32" s="83"/>
      <c r="N32" s="84"/>
      <c r="O32" s="84"/>
    </row>
    <row r="33" spans="2:15" ht="16.5" customHeight="1">
      <c r="B33" s="83"/>
      <c r="C33" s="99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/>
      <c r="O33" s="84"/>
    </row>
    <row r="34" spans="2:15">
      <c r="B34" s="212" t="s">
        <v>67</v>
      </c>
      <c r="C34" s="212"/>
      <c r="D34" s="212"/>
      <c r="E34" s="212"/>
    </row>
    <row r="35" spans="2:15">
      <c r="B35" s="100" t="s">
        <v>132</v>
      </c>
      <c r="C35" s="100" t="s">
        <v>121</v>
      </c>
      <c r="D35" s="100" t="s">
        <v>122</v>
      </c>
      <c r="E35" s="100" t="s">
        <v>123</v>
      </c>
    </row>
    <row r="36" spans="2:15" ht="25.5">
      <c r="B36" s="89" t="s">
        <v>133</v>
      </c>
      <c r="C36" s="101" t="s">
        <v>134</v>
      </c>
      <c r="D36" s="89" t="s">
        <v>135</v>
      </c>
      <c r="E36" s="91">
        <v>139.4</v>
      </c>
    </row>
    <row r="37" spans="2:15">
      <c r="B37" s="213" t="s">
        <v>136</v>
      </c>
      <c r="C37" s="213"/>
      <c r="D37" s="213"/>
      <c r="E37" s="213"/>
    </row>
  </sheetData>
  <mergeCells count="64">
    <mergeCell ref="B34:E34"/>
    <mergeCell ref="B37:E37"/>
    <mergeCell ref="B18:F18"/>
    <mergeCell ref="H18:J18"/>
    <mergeCell ref="B20:E20"/>
    <mergeCell ref="B24:E24"/>
    <mergeCell ref="B26:C26"/>
    <mergeCell ref="B31:C31"/>
    <mergeCell ref="G13:G14"/>
    <mergeCell ref="H13:H14"/>
    <mergeCell ref="I13:I14"/>
    <mergeCell ref="J13:J14"/>
    <mergeCell ref="K13:K14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3:B14"/>
    <mergeCell ref="D13:D14"/>
    <mergeCell ref="E13:E14"/>
    <mergeCell ref="F13:F14"/>
    <mergeCell ref="B11:B12"/>
    <mergeCell ref="D11:D12"/>
    <mergeCell ref="E11:E12"/>
    <mergeCell ref="F11:F12"/>
    <mergeCell ref="B2:S2"/>
    <mergeCell ref="B7:B8"/>
    <mergeCell ref="B9:B10"/>
    <mergeCell ref="D9:D10"/>
    <mergeCell ref="E9:E10"/>
    <mergeCell ref="F9:F10"/>
    <mergeCell ref="G9:G10"/>
    <mergeCell ref="H9:H10"/>
    <mergeCell ref="I9:I10"/>
    <mergeCell ref="J9:J10"/>
    <mergeCell ref="D7:D8"/>
    <mergeCell ref="E7:E8"/>
    <mergeCell ref="N7:N8"/>
    <mergeCell ref="J7:J8"/>
    <mergeCell ref="L7:L8"/>
    <mergeCell ref="F7:F8"/>
    <mergeCell ref="G11:G12"/>
    <mergeCell ref="H11:H12"/>
    <mergeCell ref="I11:I12"/>
    <mergeCell ref="J11:J12"/>
    <mergeCell ref="K7:K8"/>
    <mergeCell ref="G7:G8"/>
    <mergeCell ref="H7:H8"/>
    <mergeCell ref="I7:I8"/>
    <mergeCell ref="K11:K12"/>
    <mergeCell ref="L11:L12"/>
    <mergeCell ref="N11:N12"/>
    <mergeCell ref="K9:K10"/>
    <mergeCell ref="L9:L10"/>
    <mergeCell ref="N9:N10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ignoredErrors>
    <ignoredError sqref="K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F538B-A2CE-4D06-8CAF-441197C4AC55}">
  <sheetPr>
    <tabColor theme="9" tint="0.79998168889431442"/>
  </sheetPr>
  <dimension ref="B1:IV24"/>
  <sheetViews>
    <sheetView showGridLines="0" zoomScale="110" zoomScaleNormal="110" workbookViewId="0">
      <selection activeCell="AS21" sqref="AS21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197" t="str">
        <f>"BASE "&amp;Resumo!B6&amp;" - PLANILHA DE FORMAÇÃO DE PREÇOS"</f>
        <v>BASE CASCAVEL - PLANILHA DE FORMAÇÃO DE PREÇOS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39"/>
      <c r="Q2" s="195" t="str">
        <f>"BASE "&amp;Resumo!B6&amp;" – PLANILHA DE DISTRIBUIÇÃO DE CUSTOS POR UNIDADE"</f>
        <v>BASE CASCAVEL – PLANILHA DE DISTRIBUIÇÃO DE CUSTOS POR UNIDADE</v>
      </c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40"/>
      <c r="AI2" s="198" t="str">
        <f>"BASE "&amp;Resumo!B6&amp;" – PLANILHA RESUMO DE CUSTOS DA BASE"</f>
        <v>BASE CASCAVEL – PLANILHA RESUMO DE CUSTOS DA BASE</v>
      </c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199" t="s">
        <v>41</v>
      </c>
      <c r="C4" s="199" t="s">
        <v>42</v>
      </c>
      <c r="D4" s="199"/>
      <c r="E4" s="199"/>
      <c r="F4" s="199"/>
      <c r="G4" s="199"/>
      <c r="H4" s="199" t="s">
        <v>43</v>
      </c>
      <c r="I4" s="199"/>
      <c r="J4" s="199"/>
      <c r="K4" s="199"/>
      <c r="L4" s="199"/>
      <c r="M4" s="199"/>
      <c r="N4" s="199"/>
      <c r="O4" s="199" t="s">
        <v>28</v>
      </c>
      <c r="P4" s="39"/>
      <c r="Q4" s="199" t="s">
        <v>44</v>
      </c>
      <c r="R4" s="200" t="s">
        <v>45</v>
      </c>
      <c r="S4" s="200"/>
      <c r="T4" s="200"/>
      <c r="U4" s="200"/>
      <c r="V4" s="200" t="s">
        <v>46</v>
      </c>
      <c r="W4" s="200"/>
      <c r="X4" s="200"/>
      <c r="Y4" s="200"/>
      <c r="Z4" s="200" t="s">
        <v>47</v>
      </c>
      <c r="AA4" s="200"/>
      <c r="AB4" s="200"/>
      <c r="AC4" s="200"/>
      <c r="AD4" s="200" t="s">
        <v>48</v>
      </c>
      <c r="AE4" s="200"/>
      <c r="AF4" s="200"/>
      <c r="AG4" s="200"/>
      <c r="AI4" s="199" t="s">
        <v>44</v>
      </c>
      <c r="AJ4" s="201" t="s">
        <v>49</v>
      </c>
      <c r="AK4" s="201"/>
      <c r="AL4" s="201"/>
      <c r="AM4" s="201"/>
      <c r="AN4" s="201"/>
      <c r="AO4" s="201" t="s">
        <v>50</v>
      </c>
      <c r="AP4" s="201"/>
      <c r="AQ4" s="201"/>
      <c r="AR4" s="42"/>
      <c r="AS4" s="201" t="str">
        <f>"Resumo de Custos da Base "&amp;Resumo!B6</f>
        <v>Resumo de Custos da Base CASCAVEL</v>
      </c>
      <c r="AT4" s="201"/>
      <c r="AU4" s="201"/>
      <c r="AV4" s="201"/>
      <c r="AW4" s="201"/>
    </row>
    <row r="5" spans="2:49" ht="39.75" customHeight="1">
      <c r="B5" s="199"/>
      <c r="C5" s="1" t="s">
        <v>28</v>
      </c>
      <c r="D5" s="1" t="s">
        <v>51</v>
      </c>
      <c r="E5" s="1" t="s">
        <v>52</v>
      </c>
      <c r="F5" s="1" t="s">
        <v>53</v>
      </c>
      <c r="G5" s="199" t="s">
        <v>54</v>
      </c>
      <c r="H5" s="1" t="s">
        <v>55</v>
      </c>
      <c r="I5" s="1" t="s">
        <v>56</v>
      </c>
      <c r="J5" s="1" t="s">
        <v>57</v>
      </c>
      <c r="K5" s="1" t="s">
        <v>58</v>
      </c>
      <c r="L5" s="1" t="s">
        <v>59</v>
      </c>
      <c r="M5" s="1" t="s">
        <v>60</v>
      </c>
      <c r="N5" s="199" t="s">
        <v>61</v>
      </c>
      <c r="O5" s="199"/>
      <c r="P5" s="39"/>
      <c r="Q5" s="199"/>
      <c r="R5" s="1" t="s">
        <v>62</v>
      </c>
      <c r="S5" s="1" t="s">
        <v>63</v>
      </c>
      <c r="T5" s="1" t="s">
        <v>64</v>
      </c>
      <c r="U5" s="1" t="s">
        <v>65</v>
      </c>
      <c r="V5" s="199" t="s">
        <v>66</v>
      </c>
      <c r="W5" s="199" t="s">
        <v>67</v>
      </c>
      <c r="X5" s="199" t="s">
        <v>68</v>
      </c>
      <c r="Y5" s="199" t="s">
        <v>69</v>
      </c>
      <c r="Z5" s="199" t="s">
        <v>70</v>
      </c>
      <c r="AA5" s="199"/>
      <c r="AB5" s="199"/>
      <c r="AC5" s="1">
        <f>N19+'Base Maringá'!N20</f>
        <v>1028.6499999999999</v>
      </c>
      <c r="AD5" s="200" t="s">
        <v>62</v>
      </c>
      <c r="AE5" s="200" t="s">
        <v>63</v>
      </c>
      <c r="AF5" s="200" t="s">
        <v>64</v>
      </c>
      <c r="AG5" s="200" t="s">
        <v>65</v>
      </c>
      <c r="AI5" s="199"/>
      <c r="AJ5" s="200" t="s">
        <v>71</v>
      </c>
      <c r="AK5" s="200" t="s">
        <v>62</v>
      </c>
      <c r="AL5" s="200" t="s">
        <v>63</v>
      </c>
      <c r="AM5" s="200" t="s">
        <v>64</v>
      </c>
      <c r="AN5" s="200" t="s">
        <v>65</v>
      </c>
      <c r="AO5" s="200" t="s">
        <v>72</v>
      </c>
      <c r="AP5" s="203" t="s">
        <v>73</v>
      </c>
      <c r="AQ5" s="200" t="s">
        <v>74</v>
      </c>
      <c r="AR5" s="40"/>
      <c r="AS5" s="200" t="s">
        <v>75</v>
      </c>
      <c r="AT5" s="41" t="s">
        <v>62</v>
      </c>
      <c r="AU5" s="41" t="s">
        <v>63</v>
      </c>
      <c r="AV5" s="41" t="s">
        <v>64</v>
      </c>
      <c r="AW5" s="41" t="s">
        <v>65</v>
      </c>
    </row>
    <row r="6" spans="2:49" ht="19.5" customHeight="1">
      <c r="B6" s="199"/>
      <c r="C6" s="43" t="s">
        <v>76</v>
      </c>
      <c r="D6" s="43">
        <v>1</v>
      </c>
      <c r="E6" s="43">
        <v>0.35</v>
      </c>
      <c r="F6" s="43">
        <v>0.1</v>
      </c>
      <c r="G6" s="199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199"/>
      <c r="O6" s="199"/>
      <c r="P6" s="44"/>
      <c r="Q6" s="199"/>
      <c r="R6" s="43" t="s">
        <v>77</v>
      </c>
      <c r="S6" s="43" t="s">
        <v>78</v>
      </c>
      <c r="T6" s="43" t="s">
        <v>79</v>
      </c>
      <c r="U6" s="43" t="s">
        <v>80</v>
      </c>
      <c r="V6" s="199"/>
      <c r="W6" s="199"/>
      <c r="X6" s="199"/>
      <c r="Y6" s="199"/>
      <c r="Z6" s="26" t="s">
        <v>62</v>
      </c>
      <c r="AA6" s="26" t="s">
        <v>63</v>
      </c>
      <c r="AB6" s="26" t="s">
        <v>64</v>
      </c>
      <c r="AC6" s="26" t="s">
        <v>65</v>
      </c>
      <c r="AD6" s="200"/>
      <c r="AE6" s="200"/>
      <c r="AF6" s="200"/>
      <c r="AG6" s="200"/>
      <c r="AI6" s="199"/>
      <c r="AJ6" s="200"/>
      <c r="AK6" s="200"/>
      <c r="AL6" s="200"/>
      <c r="AM6" s="200"/>
      <c r="AN6" s="200"/>
      <c r="AO6" s="200"/>
      <c r="AP6" s="204"/>
      <c r="AQ6" s="200"/>
      <c r="AR6" s="45"/>
      <c r="AS6" s="200"/>
      <c r="AT6" s="26" t="s">
        <v>77</v>
      </c>
      <c r="AU6" s="26" t="s">
        <v>78</v>
      </c>
      <c r="AV6" s="26" t="s">
        <v>79</v>
      </c>
      <c r="AW6" s="26" t="s">
        <v>80</v>
      </c>
    </row>
    <row r="7" spans="2:49" s="3" customFormat="1" ht="15" customHeight="1">
      <c r="B7" s="165" t="s">
        <v>137</v>
      </c>
      <c r="C7" s="47">
        <f>VLOOKUP($B7,Unidades!$D$5:$N$29,6,FALSE())</f>
        <v>851.2</v>
      </c>
      <c r="D7" s="47">
        <f>VLOOKUP($B7,Unidades!$D$5:$N$29,7,FALSE())</f>
        <v>425.6</v>
      </c>
      <c r="E7" s="47">
        <f>VLOOKUP($B7,Unidades!$D$5:$N$29,8,FALSE())</f>
        <v>42.56</v>
      </c>
      <c r="F7" s="47">
        <f>VLOOKUP($B7,Unidades!$D$5:$N$29,9,FALSE())</f>
        <v>383.04</v>
      </c>
      <c r="G7" s="47">
        <f t="shared" ref="G7:G18" si="0">D7+E7*$E$6+F7*$F$6</f>
        <v>478.80000000000007</v>
      </c>
      <c r="H7" s="48">
        <f t="shared" ref="H7:H18" si="1">IF(G7&lt;750,1.5,IF(G7&lt;2000,2,IF(G7&lt;4000,3,12)))</f>
        <v>1.5</v>
      </c>
      <c r="I7" s="48">
        <f t="shared" ref="I7:I18" si="2">$I$6*H7</f>
        <v>1.7999999999999998</v>
      </c>
      <c r="J7" s="48" t="str">
        <f>VLOOKUP($B7,Unidades!$D$5:$N$29,10,FALSE())</f>
        <v>SIM</v>
      </c>
      <c r="K7" s="48" t="str">
        <f>VLOOKUP($B7,Unidades!$D$5:$N$29,11,FALSE())</f>
        <v>SIM</v>
      </c>
      <c r="L7" s="48">
        <f t="shared" ref="L7:L18" si="3">$L$6*H7+(IF(J7="SIM",$J$6,0))</f>
        <v>3.6500000000000004</v>
      </c>
      <c r="M7" s="48">
        <f t="shared" ref="M7:M18" si="4">$M$6*H7+(IF(J7="SIM",$J$6,0))+(IF(K7="SIM",$K$6,0))</f>
        <v>7.65</v>
      </c>
      <c r="N7" s="48">
        <f t="shared" ref="N7:N18" si="5">H7*12+I7*4+L7*2+M7</f>
        <v>40.15</v>
      </c>
      <c r="O7" s="49">
        <f t="shared" ref="O7:O18" si="6">IF(K7="não", N7*(C$22+D$22),N7*(C$22+D$22)+(M7*+E$22))</f>
        <v>2816.8343892499997</v>
      </c>
      <c r="P7" s="50"/>
      <c r="Q7" s="16" t="str">
        <f t="shared" ref="Q7:Q18" si="7">B7</f>
        <v>APS GOIOERÊ</v>
      </c>
      <c r="R7" s="18">
        <f t="shared" ref="R7:R18" si="8">H7*($C$22+$D$22)</f>
        <v>93.615892500000001</v>
      </c>
      <c r="S7" s="18">
        <f t="shared" ref="S7:S18" si="9">I7*($C$22+$D$22)</f>
        <v>112.33907099999999</v>
      </c>
      <c r="T7" s="18">
        <f t="shared" ref="T7:T18" si="10">L7*($C$22+$D$22)</f>
        <v>227.79867175000001</v>
      </c>
      <c r="U7" s="18">
        <f t="shared" ref="U7:U18" si="11">IF(K7="não",M7*($C$22+$D$22),M7*(C$22+D$22+E$22))</f>
        <v>788.49005175000002</v>
      </c>
      <c r="V7" s="18">
        <f>VLOOKUP(Q7,'Desl. Base Cascavel'!$C$5:$S$16,13,FALSE())*($C$22+$D$22+$E$22*(VLOOKUP(Q7,'Desl. Base Cascavel'!$C$5:$S$16,17,FALSE())/12))</f>
        <v>133.79115427777776</v>
      </c>
      <c r="W7" s="18">
        <f>VLOOKUP(Q7,'Desl. Base Cascavel'!$C$5:$S$16,15,FALSE())*(2+(VLOOKUP(Q7,'Desl. Base Cascavel'!$C$5:$S$16,17,FALSE())/12))</f>
        <v>0</v>
      </c>
      <c r="X7" s="18">
        <f>VLOOKUP(Q7,'Desl. Base Cascavel'!$C$5:$Q$16,14,FALSE())</f>
        <v>0</v>
      </c>
      <c r="Y7" s="18">
        <f>VLOOKUP(Q7,'Desl. Base Cascavel'!$C$5:$Q$16,13,FALSE())*'Desl. Base Cascavel'!$E$21+'Desl. Base Cascavel'!$E$22*N7/12</f>
        <v>138.13741666666667</v>
      </c>
      <c r="Z7" s="18">
        <f>(H7/$AC$5)*'Equipe Técnica'!$C$13</f>
        <v>278.33766309444036</v>
      </c>
      <c r="AA7" s="18">
        <f>(I7/$AC$5)*'Equipe Técnica'!$C$13</f>
        <v>334.00519571332842</v>
      </c>
      <c r="AB7" s="18">
        <f>(L7/$AC$5)*'Equipe Técnica'!$C$13</f>
        <v>677.2883135298049</v>
      </c>
      <c r="AC7" s="18">
        <f>(M7/$AC$5)*'Equipe Técnica'!$C$13</f>
        <v>1419.522081781646</v>
      </c>
      <c r="AD7" s="18">
        <f t="shared" ref="AD7:AD18" si="12">R7+(($V7+$W7+$X7+$Y7)*12/19)+$Z7</f>
        <v>543.69791619093166</v>
      </c>
      <c r="AE7" s="18">
        <f t="shared" ref="AE7:AE18" si="13">S7+(($V7+$W7+$X7+$Y7)*12/19)+$AA7</f>
        <v>618.08862730981969</v>
      </c>
      <c r="AF7" s="18">
        <f t="shared" ref="AF7:AF18" si="14">T7+(($V7+$W7+$X7+$Y7)*12/19)+$AB7</f>
        <v>1076.8313458762962</v>
      </c>
      <c r="AG7" s="18">
        <f t="shared" ref="AG7:AG18" si="15">U7+(($V7+$W7+$X7+$Y7)*12/19)+$AC7</f>
        <v>2379.7564941281371</v>
      </c>
      <c r="AI7" s="16" t="str">
        <f t="shared" ref="AI7:AI18" si="16">B7</f>
        <v>APS GOIOERÊ</v>
      </c>
      <c r="AJ7" s="51">
        <f>VLOOKUP(AI7,Unidades!D$5:H$29,5,)</f>
        <v>0.2707</v>
      </c>
      <c r="AK7" s="33">
        <f t="shared" ref="AK7:AN18" si="17">AD7*(1+$AJ7)</f>
        <v>690.87694210381687</v>
      </c>
      <c r="AL7" s="33">
        <f t="shared" si="17"/>
        <v>785.40521872258785</v>
      </c>
      <c r="AM7" s="33">
        <f t="shared" si="17"/>
        <v>1368.3295912050094</v>
      </c>
      <c r="AN7" s="33">
        <f t="shared" si="17"/>
        <v>3023.9565770886238</v>
      </c>
      <c r="AO7" s="33">
        <f t="shared" ref="AO7:AO18" si="18">((AK7*12)+(AL7*4)+(AM7*2)+AN7)/12</f>
        <v>1432.7299949695662</v>
      </c>
      <c r="AP7" s="33">
        <f>AO7*3</f>
        <v>4298.1899849086985</v>
      </c>
      <c r="AQ7" s="33">
        <f t="shared" ref="AQ7:AQ18" si="19">AO7+AP7</f>
        <v>5730.9199798782647</v>
      </c>
      <c r="AR7" s="52"/>
      <c r="AS7" s="53" t="s">
        <v>82</v>
      </c>
      <c r="AT7" s="33">
        <f>AK19</f>
        <v>9528.1013042239556</v>
      </c>
      <c r="AU7" s="33">
        <f>AL19</f>
        <v>10961.937626613853</v>
      </c>
      <c r="AV7" s="33">
        <f>AM19</f>
        <v>13431.322404063118</v>
      </c>
      <c r="AW7" s="33">
        <f>AN19</f>
        <v>21917.693424601192</v>
      </c>
    </row>
    <row r="8" spans="2:49" s="3" customFormat="1" ht="15" customHeight="1">
      <c r="B8" s="165" t="s">
        <v>138</v>
      </c>
      <c r="C8" s="47">
        <f>VLOOKUP($B8,Unidades!$D$5:$N$29,6,FALSE())</f>
        <v>1362.95</v>
      </c>
      <c r="D8" s="47">
        <f>VLOOKUP($B8,Unidades!$D$5:$N$29,7,FALSE())</f>
        <v>930.36</v>
      </c>
      <c r="E8" s="47">
        <f>VLOOKUP($B8,Unidades!$D$5:$N$29,8,FALSE())</f>
        <v>268.62</v>
      </c>
      <c r="F8" s="47">
        <f>VLOOKUP($B8,Unidades!$D$5:$N$29,9,FALSE())</f>
        <v>163.97</v>
      </c>
      <c r="G8" s="47">
        <f t="shared" si="0"/>
        <v>1040.7739999999999</v>
      </c>
      <c r="H8" s="48">
        <f t="shared" si="1"/>
        <v>2</v>
      </c>
      <c r="I8" s="48">
        <f t="shared" si="2"/>
        <v>2.4</v>
      </c>
      <c r="J8" s="48" t="str">
        <f>VLOOKUP($B8,Unidades!$D$5:$N$29,10,FALSE())</f>
        <v>SIM</v>
      </c>
      <c r="K8" s="48" t="str">
        <f>VLOOKUP($B8,Unidades!$D$5:$N$29,11,FALSE())</f>
        <v>NÃO</v>
      </c>
      <c r="L8" s="48">
        <f t="shared" si="3"/>
        <v>4.2</v>
      </c>
      <c r="M8" s="48">
        <f t="shared" si="4"/>
        <v>4.2</v>
      </c>
      <c r="N8" s="48">
        <f t="shared" si="5"/>
        <v>46.2</v>
      </c>
      <c r="O8" s="49">
        <f t="shared" si="6"/>
        <v>2883.3694890000002</v>
      </c>
      <c r="P8" s="50"/>
      <c r="Q8" s="16" t="str">
        <f t="shared" si="7"/>
        <v>GEX CASCAVEL</v>
      </c>
      <c r="R8" s="18">
        <f t="shared" si="8"/>
        <v>124.82119</v>
      </c>
      <c r="S8" s="18">
        <f t="shared" si="9"/>
        <v>149.785428</v>
      </c>
      <c r="T8" s="18">
        <f t="shared" si="10"/>
        <v>262.12449900000001</v>
      </c>
      <c r="U8" s="18">
        <f t="shared" si="11"/>
        <v>262.12449900000001</v>
      </c>
      <c r="V8" s="18">
        <f>VLOOKUP(Q8,'Desl. Base Cascavel'!$C$5:$S$16,13,FALSE())*($C$22+$D$22+$E$22*(VLOOKUP(Q8,'Desl. Base Cascavel'!$C$5:$S$16,17,FALSE())/12))</f>
        <v>0</v>
      </c>
      <c r="W8" s="18">
        <f>VLOOKUP(Q8,'Desl. Base Cascavel'!$C$5:$S$16,15,FALSE())*(2+(VLOOKUP(Q8,'Desl. Base Cascavel'!$C$5:$S$16,17,FALSE())/12))</f>
        <v>0</v>
      </c>
      <c r="X8" s="18">
        <f>VLOOKUP(Q8,'Desl. Base Cascavel'!$C$5:$Q$16,14,FALSE())</f>
        <v>0</v>
      </c>
      <c r="Y8" s="18">
        <f>VLOOKUP(Q8,'Desl. Base Cascavel'!$C$5:$Q$16,13,FALSE())*'Desl. Base Cascavel'!$E$21+'Desl. Base Cascavel'!$E$22*N8/12</f>
        <v>26.103000000000005</v>
      </c>
      <c r="Z8" s="18">
        <f>(H8/$AC$5)*'Equipe Técnica'!$C$13</f>
        <v>371.11688412592048</v>
      </c>
      <c r="AA8" s="18">
        <f>(I8/$AC$5)*'Equipe Técnica'!$C$13</f>
        <v>445.34026095110454</v>
      </c>
      <c r="AB8" s="18">
        <f>(L8/$AC$5)*'Equipe Técnica'!$C$13</f>
        <v>779.34545666443296</v>
      </c>
      <c r="AC8" s="18">
        <f>(M8/$AC$5)*'Equipe Técnica'!$C$13</f>
        <v>779.34545666443296</v>
      </c>
      <c r="AD8" s="18">
        <f t="shared" si="12"/>
        <v>512.4241793890784</v>
      </c>
      <c r="AE8" s="18">
        <f t="shared" si="13"/>
        <v>611.61179421426243</v>
      </c>
      <c r="AF8" s="18">
        <f t="shared" si="14"/>
        <v>1057.9560609275909</v>
      </c>
      <c r="AG8" s="18">
        <f t="shared" si="15"/>
        <v>1057.9560609275909</v>
      </c>
      <c r="AI8" s="16" t="str">
        <f t="shared" si="16"/>
        <v>GEX CASCAVEL</v>
      </c>
      <c r="AJ8" s="51">
        <f>VLOOKUP(AI8,Unidades!D$5:H$29,5,)</f>
        <v>0.28489999999999999</v>
      </c>
      <c r="AK8" s="33">
        <f t="shared" si="17"/>
        <v>658.41382809702679</v>
      </c>
      <c r="AL8" s="33">
        <f t="shared" si="17"/>
        <v>785.85999438590579</v>
      </c>
      <c r="AM8" s="33">
        <f t="shared" si="17"/>
        <v>1359.3677426858615</v>
      </c>
      <c r="AN8" s="33">
        <f t="shared" si="17"/>
        <v>1359.3677426858615</v>
      </c>
      <c r="AO8" s="33">
        <f t="shared" si="18"/>
        <v>1260.2090952304607</v>
      </c>
      <c r="AP8" s="33">
        <f t="shared" ref="AP8:AP18" si="20">AO8*3</f>
        <v>3780.627285691382</v>
      </c>
      <c r="AQ8" s="33">
        <f t="shared" si="19"/>
        <v>5040.8363809218426</v>
      </c>
      <c r="AR8" s="52"/>
      <c r="AS8" s="53" t="s">
        <v>84</v>
      </c>
      <c r="AT8" s="33">
        <f>AT7*12</f>
        <v>114337.21565068746</v>
      </c>
      <c r="AU8" s="33">
        <f>AU7*4</f>
        <v>43847.750506455413</v>
      </c>
      <c r="AV8" s="33">
        <f>AV7*2</f>
        <v>26862.644808126235</v>
      </c>
      <c r="AW8" s="33">
        <f>AW7</f>
        <v>21917.693424601192</v>
      </c>
    </row>
    <row r="9" spans="2:49" s="3" customFormat="1" ht="15" customHeight="1">
      <c r="B9" s="165" t="s">
        <v>139</v>
      </c>
      <c r="C9" s="47">
        <f>VLOOKUP($B9,Unidades!$D$5:$N$29,6,FALSE())</f>
        <v>3298.13</v>
      </c>
      <c r="D9" s="47">
        <f>VLOOKUP($B9,Unidades!$D$5:$N$29,7,FALSE())</f>
        <v>1621.17</v>
      </c>
      <c r="E9" s="47">
        <f>VLOOKUP($B9,Unidades!$D$5:$N$29,8,FALSE())</f>
        <v>1676.96</v>
      </c>
      <c r="F9" s="47">
        <f>VLOOKUP($B9,Unidades!$D$5:$N$29,9,FALSE())</f>
        <v>0</v>
      </c>
      <c r="G9" s="47">
        <f t="shared" si="0"/>
        <v>2208.1059999999998</v>
      </c>
      <c r="H9" s="48">
        <f t="shared" si="1"/>
        <v>3</v>
      </c>
      <c r="I9" s="48">
        <f t="shared" si="2"/>
        <v>3.5999999999999996</v>
      </c>
      <c r="J9" s="48" t="str">
        <f>VLOOKUP($B9,Unidades!$D$5:$N$29,10,FALSE())</f>
        <v>SIM</v>
      </c>
      <c r="K9" s="48" t="str">
        <f>VLOOKUP($B9,Unidades!$D$5:$N$29,11,FALSE())</f>
        <v>SIM</v>
      </c>
      <c r="L9" s="48">
        <f t="shared" si="3"/>
        <v>5.3000000000000007</v>
      </c>
      <c r="M9" s="48">
        <f t="shared" si="4"/>
        <v>9.3000000000000007</v>
      </c>
      <c r="N9" s="48">
        <f t="shared" si="5"/>
        <v>70.3</v>
      </c>
      <c r="O9" s="49">
        <f t="shared" si="6"/>
        <v>4765.6028285000002</v>
      </c>
      <c r="P9" s="50"/>
      <c r="Q9" s="16" t="str">
        <f t="shared" si="7"/>
        <v>APS CASCAVEL</v>
      </c>
      <c r="R9" s="18">
        <f t="shared" si="8"/>
        <v>187.231785</v>
      </c>
      <c r="S9" s="18">
        <f t="shared" si="9"/>
        <v>224.67814199999998</v>
      </c>
      <c r="T9" s="18">
        <f t="shared" si="10"/>
        <v>330.77615350000002</v>
      </c>
      <c r="U9" s="18">
        <f t="shared" si="11"/>
        <v>958.5565335</v>
      </c>
      <c r="V9" s="18">
        <f>VLOOKUP(Q9,'Desl. Base Cascavel'!$C$5:$S$16,13,FALSE())*($C$22+$D$22+$E$22*(VLOOKUP(Q9,'Desl. Base Cascavel'!$C$5:$S$16,17,FALSE())/12))</f>
        <v>4.3865952222222226</v>
      </c>
      <c r="W9" s="18">
        <f>VLOOKUP(Q9,'Desl. Base Cascavel'!$C$5:$S$16,15,FALSE())*(2+(VLOOKUP(Q9,'Desl. Base Cascavel'!$C$5:$S$16,17,FALSE())/12))</f>
        <v>0</v>
      </c>
      <c r="X9" s="18">
        <f>VLOOKUP(Q9,'Desl. Base Cascavel'!$C$5:$Q$16,14,FALSE())</f>
        <v>0</v>
      </c>
      <c r="Y9" s="18">
        <f>VLOOKUP(Q9,'Desl. Base Cascavel'!$C$5:$Q$16,13,FALSE())*'Desl. Base Cascavel'!$E$21+'Desl. Base Cascavel'!$E$22*N9/12</f>
        <v>43.504833333333337</v>
      </c>
      <c r="Z9" s="18">
        <f>(H9/$AC$5)*'Equipe Técnica'!$C$13</f>
        <v>556.67532618888072</v>
      </c>
      <c r="AA9" s="18">
        <f>(I9/$AC$5)*'Equipe Técnica'!$C$13</f>
        <v>668.01039142665684</v>
      </c>
      <c r="AB9" s="18">
        <f>(L9/$AC$5)*'Equipe Técnica'!$C$13</f>
        <v>983.45974293368943</v>
      </c>
      <c r="AC9" s="18">
        <f>(M9/$AC$5)*'Equipe Técnica'!$C$13</f>
        <v>1725.6935111855303</v>
      </c>
      <c r="AD9" s="18">
        <f t="shared" si="12"/>
        <v>774.15432922396849</v>
      </c>
      <c r="AE9" s="18">
        <f t="shared" si="13"/>
        <v>922.93575146174453</v>
      </c>
      <c r="AF9" s="18">
        <f t="shared" si="14"/>
        <v>1344.4831144687771</v>
      </c>
      <c r="AG9" s="18">
        <f t="shared" si="15"/>
        <v>2714.497262720618</v>
      </c>
      <c r="AI9" s="16" t="str">
        <f t="shared" si="16"/>
        <v>APS CASCAVEL</v>
      </c>
      <c r="AJ9" s="51">
        <f>VLOOKUP(AI9,Unidades!D$5:H$29,5,)</f>
        <v>0.28489999999999999</v>
      </c>
      <c r="AK9" s="33">
        <f t="shared" si="17"/>
        <v>994.71089761987707</v>
      </c>
      <c r="AL9" s="33">
        <f t="shared" si="17"/>
        <v>1185.8801470531955</v>
      </c>
      <c r="AM9" s="33">
        <f t="shared" si="17"/>
        <v>1727.5263537809317</v>
      </c>
      <c r="AN9" s="33">
        <f t="shared" si="17"/>
        <v>3487.857532869722</v>
      </c>
      <c r="AO9" s="33">
        <f t="shared" si="18"/>
        <v>1968.5801333402412</v>
      </c>
      <c r="AP9" s="33">
        <f t="shared" si="20"/>
        <v>5905.7404000207234</v>
      </c>
      <c r="AQ9" s="33">
        <f t="shared" si="19"/>
        <v>7874.3205333609649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6" t="s">
        <v>140</v>
      </c>
      <c r="C10" s="47">
        <f>VLOOKUP($B10,Unidades!$D$5:$N$29,6,FALSE())</f>
        <v>2005</v>
      </c>
      <c r="D10" s="47">
        <f>VLOOKUP($B10,Unidades!$D$5:$N$29,7,FALSE())</f>
        <v>1554.31</v>
      </c>
      <c r="E10" s="47">
        <f>VLOOKUP($B10,Unidades!$D$5:$N$29,8,FALSE())</f>
        <v>450.69</v>
      </c>
      <c r="F10" s="47">
        <f>VLOOKUP($B10,Unidades!$D$5:$N$29,9,FALSE())</f>
        <v>0</v>
      </c>
      <c r="G10" s="47">
        <f t="shared" si="0"/>
        <v>1712.0515</v>
      </c>
      <c r="H10" s="48">
        <f t="shared" si="1"/>
        <v>2</v>
      </c>
      <c r="I10" s="48">
        <f t="shared" si="2"/>
        <v>2.4</v>
      </c>
      <c r="J10" s="48" t="str">
        <f>VLOOKUP($B10,Unidades!$D$5:$N$29,10,FALSE())</f>
        <v>SIM</v>
      </c>
      <c r="K10" s="48" t="str">
        <f>VLOOKUP($B10,Unidades!$D$5:$N$29,11,FALSE())</f>
        <v>SIM</v>
      </c>
      <c r="L10" s="48">
        <f t="shared" si="3"/>
        <v>4.2</v>
      </c>
      <c r="M10" s="48">
        <f t="shared" si="4"/>
        <v>8.1999999999999993</v>
      </c>
      <c r="N10" s="48">
        <f t="shared" si="5"/>
        <v>50.2</v>
      </c>
      <c r="O10" s="49">
        <f t="shared" si="6"/>
        <v>3466.4238690000002</v>
      </c>
      <c r="P10" s="50"/>
      <c r="Q10" s="16" t="str">
        <f t="shared" si="7"/>
        <v>APS TOLEDO</v>
      </c>
      <c r="R10" s="18">
        <f t="shared" si="8"/>
        <v>124.82119</v>
      </c>
      <c r="S10" s="18">
        <f t="shared" si="9"/>
        <v>149.785428</v>
      </c>
      <c r="T10" s="18">
        <f t="shared" si="10"/>
        <v>262.12449900000001</v>
      </c>
      <c r="U10" s="18">
        <f t="shared" si="11"/>
        <v>845.17887899999994</v>
      </c>
      <c r="V10" s="18">
        <f>VLOOKUP(Q10,'Desl. Base Cascavel'!$C$5:$S$16,13,FALSE())*($C$22+$D$22+$E$22*(VLOOKUP(Q10,'Desl. Base Cascavel'!$C$5:$S$16,17,FALSE())/12))</f>
        <v>84.990282430555567</v>
      </c>
      <c r="W10" s="18">
        <f>VLOOKUP(Q10,'Desl. Base Cascavel'!$C$5:$S$16,15,FALSE())*(2+(VLOOKUP(Q10,'Desl. Base Cascavel'!$C$5:$S$16,17,FALSE())/12))</f>
        <v>0</v>
      </c>
      <c r="X10" s="18">
        <f>VLOOKUP(Q10,'Desl. Base Cascavel'!$C$5:$Q$16,14,FALSE())</f>
        <v>0</v>
      </c>
      <c r="Y10" s="18">
        <f>VLOOKUP(Q10,'Desl. Base Cascavel'!$C$5:$Q$16,13,FALSE())*'Desl. Base Cascavel'!$E$21+'Desl. Base Cascavel'!$E$22*N10/12</f>
        <v>101.70383333333334</v>
      </c>
      <c r="Z10" s="18">
        <f>(H10/$AC$5)*'Equipe Técnica'!$C$13</f>
        <v>371.11688412592048</v>
      </c>
      <c r="AA10" s="18">
        <f>(I10/$AC$5)*'Equipe Técnica'!$C$13</f>
        <v>445.34026095110454</v>
      </c>
      <c r="AB10" s="18">
        <f>(L10/$AC$5)*'Equipe Técnica'!$C$13</f>
        <v>779.34545666443296</v>
      </c>
      <c r="AC10" s="18">
        <f>(M10/$AC$5)*'Equipe Técnica'!$C$13</f>
        <v>1521.5792249162737</v>
      </c>
      <c r="AD10" s="18">
        <f t="shared" si="12"/>
        <v>613.8501472399555</v>
      </c>
      <c r="AE10" s="18">
        <f t="shared" si="13"/>
        <v>713.03776206513965</v>
      </c>
      <c r="AF10" s="18">
        <f t="shared" si="14"/>
        <v>1159.3820287784681</v>
      </c>
      <c r="AG10" s="18">
        <f t="shared" si="15"/>
        <v>2484.6701770303089</v>
      </c>
      <c r="AI10" s="16" t="str">
        <f t="shared" si="16"/>
        <v>APS TOLEDO</v>
      </c>
      <c r="AJ10" s="51">
        <f>VLOOKUP(AI10,Unidades!D$5:H$29,5,)</f>
        <v>0.28489999999999999</v>
      </c>
      <c r="AK10" s="33">
        <f t="shared" si="17"/>
        <v>788.73605418861882</v>
      </c>
      <c r="AL10" s="33">
        <f t="shared" si="17"/>
        <v>916.18222047749794</v>
      </c>
      <c r="AM10" s="33">
        <f t="shared" si="17"/>
        <v>1489.6899687774535</v>
      </c>
      <c r="AN10" s="33">
        <f t="shared" si="17"/>
        <v>3192.5527104662438</v>
      </c>
      <c r="AO10" s="33">
        <f t="shared" si="18"/>
        <v>1608.4578483495472</v>
      </c>
      <c r="AP10" s="33">
        <f t="shared" si="20"/>
        <v>4825.373545048642</v>
      </c>
      <c r="AQ10" s="33">
        <f t="shared" si="19"/>
        <v>6433.831393398189</v>
      </c>
      <c r="AR10" s="52"/>
      <c r="AS10" s="55" t="s">
        <v>72</v>
      </c>
      <c r="AT10" s="202">
        <f>(SUM(AT8:AW8))/12</f>
        <v>17247.108699155859</v>
      </c>
      <c r="AU10" s="202"/>
      <c r="AV10" s="54"/>
      <c r="AW10" s="54"/>
    </row>
    <row r="11" spans="2:49" s="3" customFormat="1" ht="15" customHeight="1">
      <c r="B11" s="166" t="s">
        <v>141</v>
      </c>
      <c r="C11" s="47">
        <f>VLOOKUP($B11,Unidades!$D$5:$N$29,6,FALSE())</f>
        <v>785.22</v>
      </c>
      <c r="D11" s="47">
        <f>VLOOKUP($B11,Unidades!$D$5:$N$29,7,FALSE())</f>
        <v>551.75</v>
      </c>
      <c r="E11" s="47">
        <f>VLOOKUP($B11,Unidades!$D$5:$N$29,8,FALSE())</f>
        <v>233.47</v>
      </c>
      <c r="F11" s="47">
        <f>VLOOKUP($B11,Unidades!$D$5:$N$29,9,FALSE())</f>
        <v>0</v>
      </c>
      <c r="G11" s="47">
        <f t="shared" si="0"/>
        <v>633.46450000000004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NÃO</v>
      </c>
      <c r="L11" s="48">
        <f t="shared" si="3"/>
        <v>1.6500000000000001</v>
      </c>
      <c r="M11" s="48">
        <f t="shared" si="4"/>
        <v>1.6500000000000001</v>
      </c>
      <c r="N11" s="48">
        <f t="shared" si="5"/>
        <v>30.15</v>
      </c>
      <c r="O11" s="49">
        <f t="shared" si="6"/>
        <v>1881.6794392499999</v>
      </c>
      <c r="P11" s="50"/>
      <c r="Q11" s="16" t="str">
        <f t="shared" si="7"/>
        <v>APS MARECHAL CÂNDIDO RONDON</v>
      </c>
      <c r="R11" s="18">
        <f t="shared" si="8"/>
        <v>93.615892500000001</v>
      </c>
      <c r="S11" s="18">
        <f t="shared" si="9"/>
        <v>112.33907099999999</v>
      </c>
      <c r="T11" s="18">
        <f t="shared" si="10"/>
        <v>102.97748175000001</v>
      </c>
      <c r="U11" s="18">
        <f t="shared" si="11"/>
        <v>102.97748175000001</v>
      </c>
      <c r="V11" s="18">
        <f>VLOOKUP(Q11,'Desl. Base Cascavel'!$C$5:$S$16,13,FALSE())*($C$22+$D$22+$E$22*(VLOOKUP(Q11,'Desl. Base Cascavel'!$C$5:$S$16,17,FALSE())/12))</f>
        <v>84.990282430555567</v>
      </c>
      <c r="W11" s="18">
        <f>VLOOKUP(Q11,'Desl. Base Cascavel'!$C$5:$S$16,15,FALSE())*(2+(VLOOKUP(Q11,'Desl. Base Cascavel'!$C$5:$S$16,17,FALSE())/12))</f>
        <v>0</v>
      </c>
      <c r="X11" s="18">
        <f>VLOOKUP(Q11,'Desl. Base Cascavel'!$C$5:$Q$16,14,FALSE())</f>
        <v>0</v>
      </c>
      <c r="Y11" s="18">
        <f>VLOOKUP(Q11,'Desl. Base Cascavel'!$C$5:$Q$16,13,FALSE())*'Desl. Base Cascavel'!$E$21+'Desl. Base Cascavel'!$E$22*N11/12</f>
        <v>90.375583333333338</v>
      </c>
      <c r="Z11" s="18">
        <f>(H11/$AC$5)*'Equipe Técnica'!$C$13</f>
        <v>278.33766309444036</v>
      </c>
      <c r="AA11" s="18">
        <f>(I11/$AC$5)*'Equipe Técnica'!$C$13</f>
        <v>334.00519571332842</v>
      </c>
      <c r="AB11" s="18">
        <f>(L11/$AC$5)*'Equipe Técnica'!$C$13</f>
        <v>306.17142940388442</v>
      </c>
      <c r="AC11" s="18">
        <f>(M11/$AC$5)*'Equipe Técnica'!$C$13</f>
        <v>306.17142940388442</v>
      </c>
      <c r="AD11" s="18">
        <f t="shared" si="12"/>
        <v>482.71094449794913</v>
      </c>
      <c r="AE11" s="18">
        <f t="shared" si="13"/>
        <v>557.10165561683721</v>
      </c>
      <c r="AF11" s="18">
        <f t="shared" si="14"/>
        <v>519.9063000573932</v>
      </c>
      <c r="AG11" s="18">
        <f t="shared" si="15"/>
        <v>519.9063000573932</v>
      </c>
      <c r="AI11" s="16" t="str">
        <f t="shared" si="16"/>
        <v>APS MARECHAL CÂNDIDO RONDON</v>
      </c>
      <c r="AJ11" s="51">
        <f>VLOOKUP(AI11,Unidades!D$5:H$29,5,)</f>
        <v>0.2707</v>
      </c>
      <c r="AK11" s="33">
        <f t="shared" si="17"/>
        <v>613.3807971735439</v>
      </c>
      <c r="AL11" s="33">
        <f t="shared" si="17"/>
        <v>707.90907379231498</v>
      </c>
      <c r="AM11" s="33">
        <f t="shared" si="17"/>
        <v>660.64493548292955</v>
      </c>
      <c r="AN11" s="33">
        <f t="shared" si="17"/>
        <v>660.64493548292955</v>
      </c>
      <c r="AO11" s="33">
        <f t="shared" si="18"/>
        <v>1014.5117223083812</v>
      </c>
      <c r="AP11" s="33">
        <f t="shared" si="20"/>
        <v>3043.5351669251436</v>
      </c>
      <c r="AQ11" s="33">
        <f t="shared" si="19"/>
        <v>4058.0468892335248</v>
      </c>
      <c r="AR11" s="52"/>
      <c r="AS11" s="55" t="s">
        <v>88</v>
      </c>
      <c r="AT11" s="202">
        <f>AT10*12</f>
        <v>206965.30438987032</v>
      </c>
      <c r="AU11" s="202"/>
      <c r="AV11" s="54"/>
      <c r="AW11" s="54"/>
    </row>
    <row r="12" spans="2:49" s="3" customFormat="1" ht="15" customHeight="1">
      <c r="B12" s="166" t="s">
        <v>142</v>
      </c>
      <c r="C12" s="47">
        <f>VLOOKUP($B12,Unidades!$D$5:$N$29,6,FALSE())</f>
        <v>525</v>
      </c>
      <c r="D12" s="47">
        <f>VLOOKUP($B12,Unidades!$D$5:$N$29,7,FALSE())</f>
        <v>423.47</v>
      </c>
      <c r="E12" s="47">
        <f>VLOOKUP($B12,Unidades!$D$5:$N$29,8,FALSE())</f>
        <v>101.53</v>
      </c>
      <c r="F12" s="47">
        <f>VLOOKUP($B12,Unidades!$D$5:$N$29,9,FALSE())</f>
        <v>0</v>
      </c>
      <c r="G12" s="47">
        <f t="shared" si="0"/>
        <v>459.00550000000004</v>
      </c>
      <c r="H12" s="48">
        <f t="shared" si="1"/>
        <v>1.5</v>
      </c>
      <c r="I12" s="48">
        <f t="shared" si="2"/>
        <v>1.7999999999999998</v>
      </c>
      <c r="J12" s="48" t="str">
        <f>VLOOKUP($B12,Unidades!$D$5:$N$29,10,FALSE())</f>
        <v>NÃO</v>
      </c>
      <c r="K12" s="48" t="str">
        <f>VLOOKUP($B12,Unidades!$D$5:$N$29,11,FALSE())</f>
        <v>NÃO</v>
      </c>
      <c r="L12" s="48">
        <f t="shared" si="3"/>
        <v>1.6500000000000001</v>
      </c>
      <c r="M12" s="48">
        <f t="shared" si="4"/>
        <v>1.6500000000000001</v>
      </c>
      <c r="N12" s="48">
        <f t="shared" si="5"/>
        <v>30.15</v>
      </c>
      <c r="O12" s="49">
        <f t="shared" si="6"/>
        <v>1881.6794392499999</v>
      </c>
      <c r="P12" s="50"/>
      <c r="Q12" s="16" t="str">
        <f t="shared" si="7"/>
        <v>APS ASSIS CHATEAUBRIAND</v>
      </c>
      <c r="R12" s="18">
        <f t="shared" si="8"/>
        <v>93.615892500000001</v>
      </c>
      <c r="S12" s="18">
        <f t="shared" si="9"/>
        <v>112.33907099999999</v>
      </c>
      <c r="T12" s="18">
        <f t="shared" si="10"/>
        <v>102.97748175000001</v>
      </c>
      <c r="U12" s="18">
        <f t="shared" si="11"/>
        <v>102.97748175000001</v>
      </c>
      <c r="V12" s="18">
        <f>VLOOKUP(Q12,'Desl. Base Cascavel'!$C$5:$S$16,13,FALSE())*($C$22+$D$22+$E$22*(VLOOKUP(Q12,'Desl. Base Cascavel'!$C$5:$S$16,17,FALSE())/12))</f>
        <v>133.79115427777776</v>
      </c>
      <c r="W12" s="18">
        <f>VLOOKUP(Q12,'Desl. Base Cascavel'!$C$5:$S$16,15,FALSE())*(2+(VLOOKUP(Q12,'Desl. Base Cascavel'!$C$5:$S$16,17,FALSE())/12))</f>
        <v>0</v>
      </c>
      <c r="X12" s="18">
        <f>VLOOKUP(Q12,'Desl. Base Cascavel'!$C$5:$Q$16,14,FALSE())</f>
        <v>0</v>
      </c>
      <c r="Y12" s="18">
        <f>VLOOKUP(Q12,'Desl. Base Cascavel'!$C$5:$Q$16,13,FALSE())*'Desl. Base Cascavel'!$E$21+'Desl. Base Cascavel'!$E$22*N12/12</f>
        <v>132.48741666666666</v>
      </c>
      <c r="Z12" s="18">
        <f>(H12/$AC$5)*'Equipe Técnica'!$C$13</f>
        <v>278.33766309444036</v>
      </c>
      <c r="AA12" s="18">
        <f>(I12/$AC$5)*'Equipe Técnica'!$C$13</f>
        <v>334.00519571332842</v>
      </c>
      <c r="AB12" s="18">
        <f>(L12/$AC$5)*'Equipe Técnica'!$C$13</f>
        <v>306.17142940388442</v>
      </c>
      <c r="AC12" s="18">
        <f>(M12/$AC$5)*'Equipe Técnica'!$C$13</f>
        <v>306.17142940388442</v>
      </c>
      <c r="AD12" s="18">
        <f t="shared" si="12"/>
        <v>540.12949513829994</v>
      </c>
      <c r="AE12" s="18">
        <f t="shared" si="13"/>
        <v>614.52020625718797</v>
      </c>
      <c r="AF12" s="18">
        <f t="shared" si="14"/>
        <v>577.32485069774407</v>
      </c>
      <c r="AG12" s="18">
        <f t="shared" si="15"/>
        <v>577.32485069774407</v>
      </c>
      <c r="AI12" s="16" t="str">
        <f t="shared" si="16"/>
        <v>APS ASSIS CHATEAUBRIAND</v>
      </c>
      <c r="AJ12" s="51">
        <f>VLOOKUP(AI12,Unidades!D$5:H$29,5,)</f>
        <v>0.28489999999999999</v>
      </c>
      <c r="AK12" s="33">
        <f t="shared" si="17"/>
        <v>694.01238830320153</v>
      </c>
      <c r="AL12" s="33">
        <f t="shared" si="17"/>
        <v>789.59701301986081</v>
      </c>
      <c r="AM12" s="33">
        <f t="shared" si="17"/>
        <v>741.80470066153134</v>
      </c>
      <c r="AN12" s="33">
        <f t="shared" si="17"/>
        <v>741.80470066153134</v>
      </c>
      <c r="AO12" s="33">
        <f t="shared" si="18"/>
        <v>1142.6625678085379</v>
      </c>
      <c r="AP12" s="33">
        <f t="shared" si="20"/>
        <v>3427.9877034256137</v>
      </c>
      <c r="AQ12" s="33">
        <f t="shared" si="19"/>
        <v>4570.6502712341517</v>
      </c>
      <c r="AR12" s="52"/>
      <c r="AS12" s="55" t="s">
        <v>73</v>
      </c>
      <c r="AT12" s="202">
        <f>AP19</f>
        <v>51741.32609746758</v>
      </c>
      <c r="AU12" s="202"/>
      <c r="AV12" s="52"/>
      <c r="AW12" s="52"/>
    </row>
    <row r="13" spans="2:49" s="3" customFormat="1" ht="15" customHeight="1">
      <c r="B13" s="166" t="s">
        <v>143</v>
      </c>
      <c r="C13" s="47">
        <f>VLOOKUP($B13,Unidades!$D$5:$N$29,6,FALSE())</f>
        <v>334.4</v>
      </c>
      <c r="D13" s="47">
        <f>VLOOKUP($B13,Unidades!$D$5:$N$29,7,FALSE())</f>
        <v>296</v>
      </c>
      <c r="E13" s="47">
        <f>VLOOKUP($B13,Unidades!$D$5:$N$29,8,FALSE())</f>
        <v>38.4</v>
      </c>
      <c r="F13" s="47">
        <f>VLOOKUP($B13,Unidades!$D$5:$N$29,9,FALSE())</f>
        <v>0</v>
      </c>
      <c r="G13" s="47">
        <f t="shared" si="0"/>
        <v>309.44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1881.6794392499999</v>
      </c>
      <c r="P13" s="50"/>
      <c r="Q13" s="16" t="str">
        <f t="shared" si="7"/>
        <v>APS PALOTINA</v>
      </c>
      <c r="R13" s="18">
        <f t="shared" si="8"/>
        <v>93.615892500000001</v>
      </c>
      <c r="S13" s="18">
        <f t="shared" si="9"/>
        <v>112.33907099999999</v>
      </c>
      <c r="T13" s="18">
        <f t="shared" si="10"/>
        <v>102.97748175000001</v>
      </c>
      <c r="U13" s="18">
        <f t="shared" si="11"/>
        <v>102.97748175000001</v>
      </c>
      <c r="V13" s="18">
        <f>VLOOKUP(Q13,'Desl. Base Cascavel'!$C$5:$S$16,13,FALSE())*($C$22+$D$22+$E$22*(VLOOKUP(Q13,'Desl. Base Cascavel'!$C$5:$S$16,17,FALSE())/12))</f>
        <v>146.40261554166668</v>
      </c>
      <c r="W13" s="18">
        <f>VLOOKUP(Q13,'Desl. Base Cascavel'!$C$5:$S$16,15,FALSE())*(2+(VLOOKUP(Q13,'Desl. Base Cascavel'!$C$5:$S$16,17,FALSE())/12))</f>
        <v>0</v>
      </c>
      <c r="X13" s="18">
        <f>VLOOKUP(Q13,'Desl. Base Cascavel'!$C$5:$Q$16,14,FALSE())</f>
        <v>0</v>
      </c>
      <c r="Y13" s="18">
        <f>VLOOKUP(Q13,'Desl. Base Cascavel'!$C$5:$Q$16,13,FALSE())*'Desl. Base Cascavel'!$E$21+'Desl. Base Cascavel'!$E$22*N13/12</f>
        <v>143.37025</v>
      </c>
      <c r="Z13" s="18">
        <f>(H13/$AC$5)*'Equipe Técnica'!$C$13</f>
        <v>278.33766309444036</v>
      </c>
      <c r="AA13" s="18">
        <f>(I13/$AC$5)*'Equipe Técnica'!$C$13</f>
        <v>334.00519571332842</v>
      </c>
      <c r="AB13" s="18">
        <f>(L13/$AC$5)*'Equipe Técnica'!$C$13</f>
        <v>306.17142940388442</v>
      </c>
      <c r="AC13" s="18">
        <f>(M13/$AC$5)*'Equipe Técnica'!$C$13</f>
        <v>306.17142940388442</v>
      </c>
      <c r="AD13" s="18">
        <f t="shared" si="12"/>
        <v>554.96799698917721</v>
      </c>
      <c r="AE13" s="18">
        <f t="shared" si="13"/>
        <v>629.35870810806523</v>
      </c>
      <c r="AF13" s="18">
        <f t="shared" si="14"/>
        <v>592.16335254862122</v>
      </c>
      <c r="AG13" s="18">
        <f t="shared" si="15"/>
        <v>592.16335254862122</v>
      </c>
      <c r="AI13" s="16" t="str">
        <f t="shared" si="16"/>
        <v>APS PALOTINA</v>
      </c>
      <c r="AJ13" s="51">
        <f>VLOOKUP(AI13,Unidades!D$5:H$29,5,)</f>
        <v>0.28489999999999999</v>
      </c>
      <c r="AK13" s="33">
        <f t="shared" si="17"/>
        <v>713.07837933139376</v>
      </c>
      <c r="AL13" s="33">
        <f t="shared" si="17"/>
        <v>808.66300404805293</v>
      </c>
      <c r="AM13" s="33">
        <f t="shared" si="17"/>
        <v>760.87069168972334</v>
      </c>
      <c r="AN13" s="33">
        <f t="shared" si="17"/>
        <v>760.87069168972334</v>
      </c>
      <c r="AO13" s="33">
        <f t="shared" si="18"/>
        <v>1172.8503869365088</v>
      </c>
      <c r="AP13" s="33">
        <f t="shared" si="20"/>
        <v>3518.5511608095267</v>
      </c>
      <c r="AQ13" s="33">
        <f t="shared" si="19"/>
        <v>4691.4015477460352</v>
      </c>
      <c r="AR13" s="52"/>
      <c r="AS13" s="55" t="s">
        <v>91</v>
      </c>
      <c r="AT13" s="202">
        <f>AT12*12</f>
        <v>620895.91316961101</v>
      </c>
      <c r="AU13" s="202"/>
      <c r="AV13" s="54"/>
      <c r="AW13" s="54"/>
    </row>
    <row r="14" spans="2:49" s="3" customFormat="1" ht="15" customHeight="1">
      <c r="B14" s="166" t="s">
        <v>144</v>
      </c>
      <c r="C14" s="47">
        <f>VLOOKUP($B14,Unidades!$D$5:$N$29,6,FALSE())</f>
        <v>567.94000000000005</v>
      </c>
      <c r="D14" s="47">
        <f>VLOOKUP($B14,Unidades!$D$5:$N$29,7,FALSE())</f>
        <v>450.82</v>
      </c>
      <c r="E14" s="47">
        <f>VLOOKUP($B14,Unidades!$D$5:$N$29,8,FALSE())</f>
        <v>117.12</v>
      </c>
      <c r="F14" s="47">
        <f>VLOOKUP($B14,Unidades!$D$5:$N$29,9,FALSE())</f>
        <v>0</v>
      </c>
      <c r="G14" s="47">
        <f t="shared" si="0"/>
        <v>491.81200000000001</v>
      </c>
      <c r="H14" s="48">
        <f t="shared" si="1"/>
        <v>1.5</v>
      </c>
      <c r="I14" s="48">
        <f t="shared" si="2"/>
        <v>1.7999999999999998</v>
      </c>
      <c r="J14" s="48" t="str">
        <f>VLOOKUP($B14,Unidades!$D$5:$N$29,10,FALSE())</f>
        <v>NÃO</v>
      </c>
      <c r="K14" s="48" t="str">
        <f>VLOOKUP($B14,Unidades!$D$5:$N$29,11,FALSE())</f>
        <v>SIM</v>
      </c>
      <c r="L14" s="48">
        <f t="shared" si="3"/>
        <v>1.6500000000000001</v>
      </c>
      <c r="M14" s="48">
        <f t="shared" si="4"/>
        <v>5.65</v>
      </c>
      <c r="N14" s="48">
        <f t="shared" si="5"/>
        <v>34.15</v>
      </c>
      <c r="O14" s="49">
        <f t="shared" si="6"/>
        <v>2361.0508192499997</v>
      </c>
      <c r="P14" s="50"/>
      <c r="Q14" s="16" t="str">
        <f t="shared" si="7"/>
        <v>APS GUAÍRA</v>
      </c>
      <c r="R14" s="18">
        <f t="shared" si="8"/>
        <v>93.615892500000001</v>
      </c>
      <c r="S14" s="18">
        <f t="shared" si="9"/>
        <v>112.33907099999999</v>
      </c>
      <c r="T14" s="18">
        <f t="shared" si="10"/>
        <v>102.97748175000001</v>
      </c>
      <c r="U14" s="18">
        <f t="shared" si="11"/>
        <v>582.34886174999997</v>
      </c>
      <c r="V14" s="18">
        <f>VLOOKUP(Q14,'Desl. Base Cascavel'!$C$5:$S$16,13,FALSE())*($C$22+$D$22+$E$22*(VLOOKUP(Q14,'Desl. Base Cascavel'!$C$5:$S$16,17,FALSE())/12))</f>
        <v>146.40261554166668</v>
      </c>
      <c r="W14" s="18">
        <f>VLOOKUP(Q14,'Desl. Base Cascavel'!$C$5:$S$16,15,FALSE())*(2+(VLOOKUP(Q14,'Desl. Base Cascavel'!$C$5:$S$16,17,FALSE())/12))</f>
        <v>0</v>
      </c>
      <c r="X14" s="18">
        <f>VLOOKUP(Q14,'Desl. Base Cascavel'!$C$5:$Q$16,14,FALSE())</f>
        <v>0</v>
      </c>
      <c r="Y14" s="18">
        <f>VLOOKUP(Q14,'Desl. Base Cascavel'!$C$5:$Q$16,13,FALSE())*'Desl. Base Cascavel'!$E$21+'Desl. Base Cascavel'!$E$22*N14/12</f>
        <v>145.63025000000002</v>
      </c>
      <c r="Z14" s="18">
        <f>(H14/$AC$5)*'Equipe Técnica'!$C$13</f>
        <v>278.33766309444036</v>
      </c>
      <c r="AA14" s="18">
        <f>(I14/$AC$5)*'Equipe Técnica'!$C$13</f>
        <v>334.00519571332842</v>
      </c>
      <c r="AB14" s="18">
        <f>(L14/$AC$5)*'Equipe Técnica'!$C$13</f>
        <v>306.17142940388442</v>
      </c>
      <c r="AC14" s="18">
        <f>(M14/$AC$5)*'Equipe Técnica'!$C$13</f>
        <v>1048.4051976557255</v>
      </c>
      <c r="AD14" s="18">
        <f t="shared" si="12"/>
        <v>556.39536541022983</v>
      </c>
      <c r="AE14" s="18">
        <f t="shared" si="13"/>
        <v>630.78607652911796</v>
      </c>
      <c r="AF14" s="18">
        <f t="shared" si="14"/>
        <v>593.59072096967384</v>
      </c>
      <c r="AG14" s="18">
        <f t="shared" si="15"/>
        <v>1815.1958692215148</v>
      </c>
      <c r="AI14" s="16" t="str">
        <f t="shared" si="16"/>
        <v>APS GUAÍRA</v>
      </c>
      <c r="AJ14" s="51">
        <f>VLOOKUP(AI14,Unidades!D$5:H$29,5,)</f>
        <v>0.2994</v>
      </c>
      <c r="AK14" s="33">
        <f t="shared" si="17"/>
        <v>722.98013781405257</v>
      </c>
      <c r="AL14" s="33">
        <f t="shared" si="17"/>
        <v>819.64342784193582</v>
      </c>
      <c r="AM14" s="33">
        <f t="shared" si="17"/>
        <v>771.31178282799408</v>
      </c>
      <c r="AN14" s="33">
        <f t="shared" si="17"/>
        <v>2358.6655124664362</v>
      </c>
      <c r="AO14" s="33">
        <f t="shared" si="18"/>
        <v>1321.302036938233</v>
      </c>
      <c r="AP14" s="33">
        <f t="shared" si="20"/>
        <v>3963.9061108146989</v>
      </c>
      <c r="AQ14" s="33">
        <f t="shared" si="19"/>
        <v>5285.2081477529318</v>
      </c>
      <c r="AR14" s="52"/>
      <c r="AS14" s="55" t="s">
        <v>74</v>
      </c>
      <c r="AT14" s="202">
        <f>AT10+AT12</f>
        <v>68988.434796623435</v>
      </c>
      <c r="AU14" s="202"/>
      <c r="AV14" s="54"/>
      <c r="AW14" s="54"/>
    </row>
    <row r="15" spans="2:49" s="3" customFormat="1" ht="15" customHeight="1">
      <c r="B15" s="166" t="s">
        <v>145</v>
      </c>
      <c r="C15" s="47">
        <f>VLOOKUP($B15,Unidades!$D$5:$N$29,6,FALSE())</f>
        <v>1340</v>
      </c>
      <c r="D15" s="47">
        <f>VLOOKUP($B15,Unidades!$D$5:$N$29,7,FALSE())</f>
        <v>695.46</v>
      </c>
      <c r="E15" s="47">
        <f>VLOOKUP($B15,Unidades!$D$5:$N$29,8,FALSE())</f>
        <v>389.89</v>
      </c>
      <c r="F15" s="47">
        <f>VLOOKUP($B15,Unidades!$D$5:$N$29,9,FALSE())</f>
        <v>254.65</v>
      </c>
      <c r="G15" s="47">
        <f t="shared" si="0"/>
        <v>857.38650000000007</v>
      </c>
      <c r="H15" s="48">
        <f t="shared" si="1"/>
        <v>2</v>
      </c>
      <c r="I15" s="48">
        <f t="shared" si="2"/>
        <v>2.4</v>
      </c>
      <c r="J15" s="48" t="str">
        <f>VLOOKUP($B15,Unidades!$D$5:$N$29,10,FALSE())</f>
        <v>NÃO</v>
      </c>
      <c r="K15" s="48" t="str">
        <f>VLOOKUP($B15,Unidades!$D$5:$N$29,11,FALSE())</f>
        <v>NÃO</v>
      </c>
      <c r="L15" s="48">
        <f t="shared" si="3"/>
        <v>2.2000000000000002</v>
      </c>
      <c r="M15" s="48">
        <f t="shared" si="4"/>
        <v>2.2000000000000002</v>
      </c>
      <c r="N15" s="48">
        <f t="shared" si="5"/>
        <v>40.200000000000003</v>
      </c>
      <c r="O15" s="49">
        <f t="shared" si="6"/>
        <v>2508.9059190000003</v>
      </c>
      <c r="P15" s="50"/>
      <c r="Q15" s="16" t="str">
        <f t="shared" si="7"/>
        <v>APS MEDIANEIRA</v>
      </c>
      <c r="R15" s="18">
        <f t="shared" si="8"/>
        <v>124.82119</v>
      </c>
      <c r="S15" s="18">
        <f t="shared" si="9"/>
        <v>149.785428</v>
      </c>
      <c r="T15" s="18">
        <f t="shared" si="10"/>
        <v>137.30330900000001</v>
      </c>
      <c r="U15" s="18">
        <f t="shared" si="11"/>
        <v>137.30330900000001</v>
      </c>
      <c r="V15" s="18">
        <f>VLOOKUP(Q15,'Desl. Base Cascavel'!$C$5:$S$16,13,FALSE())*($C$22+$D$22+$E$22*(VLOOKUP(Q15,'Desl. Base Cascavel'!$C$5:$S$16,17,FALSE())/12))</f>
        <v>93.095804208333334</v>
      </c>
      <c r="W15" s="18">
        <f>VLOOKUP(Q15,'Desl. Base Cascavel'!$C$5:$S$16,15,FALSE())*(2+(VLOOKUP(Q15,'Desl. Base Cascavel'!$C$5:$S$16,17,FALSE())/12))</f>
        <v>0</v>
      </c>
      <c r="X15" s="18">
        <f>VLOOKUP(Q15,'Desl. Base Cascavel'!$C$5:$Q$16,14,FALSE())</f>
        <v>0</v>
      </c>
      <c r="Y15" s="18">
        <f>VLOOKUP(Q15,'Desl. Base Cascavel'!$C$5:$Q$16,13,FALSE())*'Desl. Base Cascavel'!$E$21+'Desl. Base Cascavel'!$E$22*N15/12</f>
        <v>107.40983333333334</v>
      </c>
      <c r="Z15" s="18">
        <f>(H15/$AC$5)*'Equipe Técnica'!$C$13</f>
        <v>371.11688412592048</v>
      </c>
      <c r="AA15" s="18">
        <f>(I15/$AC$5)*'Equipe Técnica'!$C$13</f>
        <v>445.34026095110454</v>
      </c>
      <c r="AB15" s="18">
        <f>(L15/$AC$5)*'Equipe Técnica'!$C$13</f>
        <v>408.22857253851254</v>
      </c>
      <c r="AC15" s="18">
        <f>(M15/$AC$5)*'Equipe Técnica'!$C$13</f>
        <v>408.22857253851254</v>
      </c>
      <c r="AD15" s="18">
        <f t="shared" si="12"/>
        <v>622.57321362592052</v>
      </c>
      <c r="AE15" s="18">
        <f t="shared" si="13"/>
        <v>721.76082845110454</v>
      </c>
      <c r="AF15" s="18">
        <f t="shared" si="14"/>
        <v>672.16702103851253</v>
      </c>
      <c r="AG15" s="18">
        <f t="shared" si="15"/>
        <v>672.16702103851253</v>
      </c>
      <c r="AI15" s="16" t="str">
        <f t="shared" si="16"/>
        <v>APS MEDIANEIRA</v>
      </c>
      <c r="AJ15" s="51">
        <f>VLOOKUP(AI15,Unidades!D$5:H$29,5,)</f>
        <v>0.28489999999999999</v>
      </c>
      <c r="AK15" s="33">
        <f t="shared" si="17"/>
        <v>799.9443221879452</v>
      </c>
      <c r="AL15" s="33">
        <f t="shared" si="17"/>
        <v>927.3904884768242</v>
      </c>
      <c r="AM15" s="33">
        <f t="shared" si="17"/>
        <v>863.66740533238476</v>
      </c>
      <c r="AN15" s="33">
        <f t="shared" si="17"/>
        <v>863.66740533238476</v>
      </c>
      <c r="AO15" s="33">
        <f t="shared" si="18"/>
        <v>1324.9913363466496</v>
      </c>
      <c r="AP15" s="33">
        <f t="shared" si="20"/>
        <v>3974.9740090399491</v>
      </c>
      <c r="AQ15" s="33">
        <f t="shared" si="19"/>
        <v>5299.9653453865985</v>
      </c>
      <c r="AR15" s="52"/>
      <c r="AS15" s="55" t="s">
        <v>94</v>
      </c>
      <c r="AT15" s="202">
        <f>AT11+AT13</f>
        <v>827861.21755948127</v>
      </c>
      <c r="AU15" s="202"/>
      <c r="AV15" s="52"/>
      <c r="AW15" s="52"/>
    </row>
    <row r="16" spans="2:49" s="3" customFormat="1" ht="15" customHeight="1">
      <c r="B16" s="166" t="s">
        <v>146</v>
      </c>
      <c r="C16" s="47">
        <f>VLOOKUP($B16,Unidades!$D$5:$N$29,6,FALSE())</f>
        <v>334.4</v>
      </c>
      <c r="D16" s="47">
        <f>VLOOKUP($B16,Unidades!$D$5:$N$29,7,FALSE())</f>
        <v>296</v>
      </c>
      <c r="E16" s="47">
        <f>VLOOKUP($B16,Unidades!$D$5:$N$29,8,FALSE())</f>
        <v>38.4</v>
      </c>
      <c r="F16" s="47">
        <f>VLOOKUP($B16,Unidades!$D$5:$N$29,9,FALSE())</f>
        <v>0</v>
      </c>
      <c r="G16" s="47">
        <f t="shared" si="0"/>
        <v>309.44</v>
      </c>
      <c r="H16" s="48">
        <f t="shared" si="1"/>
        <v>1.5</v>
      </c>
      <c r="I16" s="48">
        <f t="shared" si="2"/>
        <v>1.7999999999999998</v>
      </c>
      <c r="J16" s="48" t="str">
        <f>VLOOKUP($B16,Unidades!$D$5:$N$29,10,FALSE())</f>
        <v>NÃO</v>
      </c>
      <c r="K16" s="48" t="str">
        <f>VLOOKUP($B16,Unidades!$D$5:$N$29,11,FALSE())</f>
        <v>NÃO</v>
      </c>
      <c r="L16" s="48">
        <f t="shared" si="3"/>
        <v>1.6500000000000001</v>
      </c>
      <c r="M16" s="48">
        <f t="shared" si="4"/>
        <v>1.6500000000000001</v>
      </c>
      <c r="N16" s="48">
        <f t="shared" si="5"/>
        <v>30.15</v>
      </c>
      <c r="O16" s="49">
        <f t="shared" si="6"/>
        <v>1881.6794392499999</v>
      </c>
      <c r="P16" s="50"/>
      <c r="Q16" s="16" t="str">
        <f t="shared" si="7"/>
        <v>APS SÃO MIGUEL DO IGUAÇU</v>
      </c>
      <c r="R16" s="18">
        <f t="shared" si="8"/>
        <v>93.615892500000001</v>
      </c>
      <c r="S16" s="18">
        <f t="shared" si="9"/>
        <v>112.33907099999999</v>
      </c>
      <c r="T16" s="18">
        <f t="shared" si="10"/>
        <v>102.97748175000001</v>
      </c>
      <c r="U16" s="18">
        <f t="shared" si="11"/>
        <v>102.97748175000001</v>
      </c>
      <c r="V16" s="18">
        <f>VLOOKUP(Q16,'Desl. Base Cascavel'!$C$5:$S$16,13,FALSE())*($C$22+$D$22+$E$22*(VLOOKUP(Q16,'Desl. Base Cascavel'!$C$5:$S$16,17,FALSE())/12))</f>
        <v>93.095804208333334</v>
      </c>
      <c r="W16" s="18">
        <f>VLOOKUP(Q16,'Desl. Base Cascavel'!$C$5:$S$16,15,FALSE())*(2+(VLOOKUP(Q16,'Desl. Base Cascavel'!$C$5:$S$16,17,FALSE())/12))</f>
        <v>0</v>
      </c>
      <c r="X16" s="18">
        <f>VLOOKUP(Q16,'Desl. Base Cascavel'!$C$5:$Q$16,14,FALSE())</f>
        <v>0</v>
      </c>
      <c r="Y16" s="18">
        <f>VLOOKUP(Q16,'Desl. Base Cascavel'!$C$5:$Q$16,13,FALSE())*'Desl. Base Cascavel'!$E$21+'Desl. Base Cascavel'!$E$22*N16/12</f>
        <v>101.73158333333333</v>
      </c>
      <c r="Z16" s="18">
        <f>(H16/$AC$5)*'Equipe Técnica'!$C$13</f>
        <v>278.33766309444036</v>
      </c>
      <c r="AA16" s="18">
        <f>(I16/$AC$5)*'Equipe Técnica'!$C$13</f>
        <v>334.00519571332842</v>
      </c>
      <c r="AB16" s="18">
        <f>(L16/$AC$5)*'Equipe Técnica'!$C$13</f>
        <v>306.17142940388442</v>
      </c>
      <c r="AC16" s="18">
        <f>(M16/$AC$5)*'Equipe Técnica'!$C$13</f>
        <v>306.17142940388442</v>
      </c>
      <c r="AD16" s="18">
        <f t="shared" si="12"/>
        <v>495.00243193654563</v>
      </c>
      <c r="AE16" s="18">
        <f t="shared" si="13"/>
        <v>569.39314305543371</v>
      </c>
      <c r="AF16" s="18">
        <f t="shared" si="14"/>
        <v>532.1977874959897</v>
      </c>
      <c r="AG16" s="18">
        <f t="shared" si="15"/>
        <v>532.1977874959897</v>
      </c>
      <c r="AI16" s="16" t="str">
        <f t="shared" si="16"/>
        <v>APS SÃO MIGUEL DO IGUAÇU</v>
      </c>
      <c r="AJ16" s="51">
        <f>VLOOKUP(AI16,Unidades!D$5:H$29,5,)</f>
        <v>0.28489999999999999</v>
      </c>
      <c r="AK16" s="33">
        <f t="shared" si="17"/>
        <v>636.02862479526743</v>
      </c>
      <c r="AL16" s="33">
        <f t="shared" si="17"/>
        <v>731.61324951192671</v>
      </c>
      <c r="AM16" s="33">
        <f t="shared" si="17"/>
        <v>683.82093715359713</v>
      </c>
      <c r="AN16" s="33">
        <f t="shared" si="17"/>
        <v>683.82093715359713</v>
      </c>
      <c r="AO16" s="33">
        <f t="shared" si="18"/>
        <v>1050.854942254309</v>
      </c>
      <c r="AP16" s="33">
        <f t="shared" si="20"/>
        <v>3152.5648267629267</v>
      </c>
      <c r="AQ16" s="33">
        <f t="shared" si="19"/>
        <v>4203.4197690172359</v>
      </c>
      <c r="AR16" s="52"/>
      <c r="AS16" s="52"/>
      <c r="AT16" s="52"/>
      <c r="AU16" s="52"/>
      <c r="AV16" s="52"/>
      <c r="AW16" s="52"/>
    </row>
    <row r="17" spans="2:49" s="3" customFormat="1" ht="15" customHeight="1">
      <c r="B17" s="166" t="s">
        <v>147</v>
      </c>
      <c r="C17" s="47">
        <f>VLOOKUP($B17,Unidades!$D$5:$N$29,6,FALSE())</f>
        <v>3100</v>
      </c>
      <c r="D17" s="47">
        <f>VLOOKUP($B17,Unidades!$D$5:$N$29,7,FALSE())</f>
        <v>2069.9899999999998</v>
      </c>
      <c r="E17" s="47">
        <f>VLOOKUP($B17,Unidades!$D$5:$N$29,8,FALSE())</f>
        <v>964.36</v>
      </c>
      <c r="F17" s="47">
        <f>VLOOKUP($B17,Unidades!$D$5:$N$29,9,FALSE())</f>
        <v>65.650000000000006</v>
      </c>
      <c r="G17" s="47">
        <f t="shared" si="0"/>
        <v>2414.0809999999997</v>
      </c>
      <c r="H17" s="48">
        <f t="shared" si="1"/>
        <v>3</v>
      </c>
      <c r="I17" s="48">
        <f t="shared" si="2"/>
        <v>3.5999999999999996</v>
      </c>
      <c r="J17" s="48" t="str">
        <f>VLOOKUP($B17,Unidades!$D$5:$N$29,10,FALSE())</f>
        <v>SIM</v>
      </c>
      <c r="K17" s="48" t="str">
        <f>VLOOKUP($B17,Unidades!$D$5:$N$29,11,FALSE())</f>
        <v>SIM</v>
      </c>
      <c r="L17" s="48">
        <f t="shared" si="3"/>
        <v>5.3000000000000007</v>
      </c>
      <c r="M17" s="48">
        <f t="shared" si="4"/>
        <v>9.3000000000000007</v>
      </c>
      <c r="N17" s="48">
        <f t="shared" si="5"/>
        <v>70.3</v>
      </c>
      <c r="O17" s="49">
        <f t="shared" si="6"/>
        <v>4765.6028285000002</v>
      </c>
      <c r="P17" s="50"/>
      <c r="Q17" s="16" t="str">
        <f t="shared" si="7"/>
        <v>APS FOZ DO IGUAÇU</v>
      </c>
      <c r="R17" s="18">
        <f t="shared" si="8"/>
        <v>187.231785</v>
      </c>
      <c r="S17" s="18">
        <f t="shared" si="9"/>
        <v>224.67814199999998</v>
      </c>
      <c r="T17" s="18">
        <f t="shared" si="10"/>
        <v>330.77615350000002</v>
      </c>
      <c r="U17" s="18">
        <f t="shared" si="11"/>
        <v>958.5565335</v>
      </c>
      <c r="V17" s="18">
        <f>VLOOKUP(Q17,'Desl. Base Cascavel'!$C$5:$S$16,13,FALSE())*($C$22+$D$22+$E$22*(VLOOKUP(Q17,'Desl. Base Cascavel'!$C$5:$S$16,17,FALSE())/12))</f>
        <v>257.71246930555554</v>
      </c>
      <c r="W17" s="18">
        <f>VLOOKUP(Q17,'Desl. Base Cascavel'!$C$5:$S$16,15,FALSE())*(2+(VLOOKUP(Q17,'Desl. Base Cascavel'!$C$5:$S$16,17,FALSE())/12))</f>
        <v>0</v>
      </c>
      <c r="X17" s="18">
        <f>VLOOKUP(Q17,'Desl. Base Cascavel'!$C$5:$Q$16,14,FALSE())</f>
        <v>0</v>
      </c>
      <c r="Y17" s="18">
        <f>VLOOKUP(Q17,'Desl. Base Cascavel'!$C$5:$Q$16,13,FALSE())*'Desl. Base Cascavel'!$E$21+'Desl. Base Cascavel'!$E$22*N17/12</f>
        <v>262.1078333333333</v>
      </c>
      <c r="Z17" s="18">
        <f>(H17/$AC$5)*'Equipe Técnica'!$C$13</f>
        <v>556.67532618888072</v>
      </c>
      <c r="AA17" s="18">
        <f>(I17/$AC$5)*'Equipe Técnica'!$C$13</f>
        <v>668.01039142665684</v>
      </c>
      <c r="AB17" s="18">
        <f>(L17/$AC$5)*'Equipe Técnica'!$C$13</f>
        <v>983.45974293368943</v>
      </c>
      <c r="AC17" s="18">
        <f>(M17/$AC$5)*'Equipe Técnica'!$C$13</f>
        <v>1725.6935111855303</v>
      </c>
      <c r="AD17" s="18">
        <f t="shared" si="12"/>
        <v>1072.2146707502843</v>
      </c>
      <c r="AE17" s="18">
        <f t="shared" si="13"/>
        <v>1220.9960929880604</v>
      </c>
      <c r="AF17" s="18">
        <f t="shared" si="14"/>
        <v>1642.5434559950929</v>
      </c>
      <c r="AG17" s="18">
        <f t="shared" si="15"/>
        <v>3012.5576042469338</v>
      </c>
      <c r="AI17" s="16" t="str">
        <f t="shared" si="16"/>
        <v>APS FOZ DO IGUAÇU</v>
      </c>
      <c r="AJ17" s="51">
        <f>VLOOKUP(AI17,Unidades!D$5:H$29,5,)</f>
        <v>0.2994</v>
      </c>
      <c r="AK17" s="33">
        <f t="shared" si="17"/>
        <v>1393.2357431729192</v>
      </c>
      <c r="AL17" s="33">
        <f t="shared" si="17"/>
        <v>1586.5623232286855</v>
      </c>
      <c r="AM17" s="33">
        <f t="shared" si="17"/>
        <v>2134.3209667200235</v>
      </c>
      <c r="AN17" s="33">
        <f t="shared" si="17"/>
        <v>3914.5173509584656</v>
      </c>
      <c r="AO17" s="33">
        <f t="shared" si="18"/>
        <v>2604.0197912823569</v>
      </c>
      <c r="AP17" s="33">
        <f t="shared" si="20"/>
        <v>7812.0593738470707</v>
      </c>
      <c r="AQ17" s="33">
        <f t="shared" si="19"/>
        <v>10416.079165129428</v>
      </c>
      <c r="AR17" s="52"/>
      <c r="AS17" s="52"/>
      <c r="AT17" s="52"/>
      <c r="AU17" s="52"/>
      <c r="AV17" s="52"/>
      <c r="AW17" s="52"/>
    </row>
    <row r="18" spans="2:49" s="3" customFormat="1" ht="15" customHeight="1">
      <c r="B18" s="166" t="s">
        <v>148</v>
      </c>
      <c r="C18" s="47">
        <f>VLOOKUP($B18,Unidades!$D$5:$N$29,6,FALSE())</f>
        <v>334.4</v>
      </c>
      <c r="D18" s="47">
        <f>VLOOKUP($B18,Unidades!$D$5:$N$29,7,FALSE())</f>
        <v>296</v>
      </c>
      <c r="E18" s="47">
        <f>VLOOKUP($B18,Unidades!$D$5:$N$29,8,FALSE())</f>
        <v>38.4</v>
      </c>
      <c r="F18" s="47">
        <f>VLOOKUP($B18,Unidades!$D$5:$N$29,9,FALSE())</f>
        <v>0</v>
      </c>
      <c r="G18" s="47">
        <f t="shared" si="0"/>
        <v>309.44</v>
      </c>
      <c r="H18" s="48">
        <f t="shared" si="1"/>
        <v>1.5</v>
      </c>
      <c r="I18" s="48">
        <f t="shared" si="2"/>
        <v>1.7999999999999998</v>
      </c>
      <c r="J18" s="48" t="str">
        <f>VLOOKUP($B18,Unidades!$D$5:$N$29,10,FALSE())</f>
        <v>NÃO</v>
      </c>
      <c r="K18" s="48" t="str">
        <f>VLOOKUP($B18,Unidades!$D$5:$N$29,11,FALSE())</f>
        <v>NÃO</v>
      </c>
      <c r="L18" s="48">
        <f t="shared" si="3"/>
        <v>1.6500000000000001</v>
      </c>
      <c r="M18" s="48">
        <f t="shared" si="4"/>
        <v>1.6500000000000001</v>
      </c>
      <c r="N18" s="48">
        <f t="shared" si="5"/>
        <v>30.15</v>
      </c>
      <c r="O18" s="49">
        <f t="shared" si="6"/>
        <v>1881.6794392499999</v>
      </c>
      <c r="P18" s="50"/>
      <c r="Q18" s="16" t="str">
        <f t="shared" si="7"/>
        <v>APS QUEDAS DO IGUAÇU</v>
      </c>
      <c r="R18" s="18">
        <f t="shared" si="8"/>
        <v>93.615892500000001</v>
      </c>
      <c r="S18" s="18">
        <f t="shared" si="9"/>
        <v>112.33907099999999</v>
      </c>
      <c r="T18" s="18">
        <f t="shared" si="10"/>
        <v>102.97748175000001</v>
      </c>
      <c r="U18" s="18">
        <f t="shared" si="11"/>
        <v>102.97748175000001</v>
      </c>
      <c r="V18" s="18">
        <f>VLOOKUP(Q18,'Desl. Base Cascavel'!$C$5:$S$16,13,FALSE())*($C$22+$D$22+$E$22*(VLOOKUP(Q18,'Desl. Base Cascavel'!$C$5:$S$16,17,FALSE())/12))</f>
        <v>219.47725908333334</v>
      </c>
      <c r="W18" s="18">
        <f>VLOOKUP(Q18,'Desl. Base Cascavel'!$C$5:$S$16,15,FALSE())*(2+(VLOOKUP(Q18,'Desl. Base Cascavel'!$C$5:$S$16,17,FALSE())/12))</f>
        <v>0</v>
      </c>
      <c r="X18" s="18">
        <f>VLOOKUP(Q18,'Desl. Base Cascavel'!$C$5:$Q$16,14,FALSE())</f>
        <v>0</v>
      </c>
      <c r="Y18" s="18">
        <f>VLOOKUP(Q18,'Desl. Base Cascavel'!$C$5:$Q$16,13,FALSE())*'Desl. Base Cascavel'!$E$21+'Desl. Base Cascavel'!$E$22*N18/12</f>
        <v>216.71108333333333</v>
      </c>
      <c r="Z18" s="18">
        <f>(H18/$AC$5)*'Equipe Técnica'!$C$13</f>
        <v>278.33766309444036</v>
      </c>
      <c r="AA18" s="18">
        <f>(I18/$AC$5)*'Equipe Técnica'!$C$13</f>
        <v>334.00519571332842</v>
      </c>
      <c r="AB18" s="18">
        <f>(L18/$AC$5)*'Equipe Técnica'!$C$13</f>
        <v>306.17142940388442</v>
      </c>
      <c r="AC18" s="18">
        <f>(M18/$AC$5)*'Equipe Técnica'!$C$13</f>
        <v>306.17142940388442</v>
      </c>
      <c r="AD18" s="18">
        <f t="shared" si="12"/>
        <v>647.44092975233514</v>
      </c>
      <c r="AE18" s="18">
        <f t="shared" si="13"/>
        <v>721.83164087122316</v>
      </c>
      <c r="AF18" s="18">
        <f t="shared" si="14"/>
        <v>684.63628531177915</v>
      </c>
      <c r="AG18" s="18">
        <f t="shared" si="15"/>
        <v>684.63628531177915</v>
      </c>
      <c r="AI18" s="16" t="str">
        <f t="shared" si="16"/>
        <v>APS QUEDAS DO IGUAÇU</v>
      </c>
      <c r="AJ18" s="51">
        <f>VLOOKUP(AI18,Unidades!D$5:H$29,5,)</f>
        <v>0.2707</v>
      </c>
      <c r="AK18" s="33">
        <f t="shared" si="17"/>
        <v>822.70318943629218</v>
      </c>
      <c r="AL18" s="33">
        <f t="shared" si="17"/>
        <v>917.23146605506327</v>
      </c>
      <c r="AM18" s="33">
        <f t="shared" si="17"/>
        <v>869.96732774567772</v>
      </c>
      <c r="AN18" s="33">
        <f t="shared" si="17"/>
        <v>869.96732774567772</v>
      </c>
      <c r="AO18" s="33">
        <f t="shared" si="18"/>
        <v>1345.938843391066</v>
      </c>
      <c r="AP18" s="33">
        <f t="shared" si="20"/>
        <v>4037.8165301731979</v>
      </c>
      <c r="AQ18" s="33">
        <f t="shared" si="19"/>
        <v>5383.7553735642641</v>
      </c>
      <c r="AR18" s="52"/>
      <c r="AS18" s="52"/>
      <c r="AT18" s="52"/>
      <c r="AU18" s="52"/>
      <c r="AV18" s="52"/>
      <c r="AW18" s="52"/>
    </row>
    <row r="19" spans="2:49" s="39" customFormat="1" ht="19.5" customHeight="1">
      <c r="B19" s="57" t="s">
        <v>99</v>
      </c>
      <c r="C19" s="58">
        <f t="shared" ref="C19:I19" si="21">SUM(C7:C18)</f>
        <v>14838.64</v>
      </c>
      <c r="D19" s="58">
        <f t="shared" si="21"/>
        <v>9610.93</v>
      </c>
      <c r="E19" s="58">
        <f t="shared" si="21"/>
        <v>4360.3999999999996</v>
      </c>
      <c r="F19" s="58">
        <f t="shared" si="21"/>
        <v>867.31</v>
      </c>
      <c r="G19" s="58">
        <f t="shared" si="21"/>
        <v>11223.801000000001</v>
      </c>
      <c r="H19" s="59">
        <f t="shared" si="21"/>
        <v>22.5</v>
      </c>
      <c r="I19" s="59">
        <f t="shared" si="21"/>
        <v>27.000000000000004</v>
      </c>
      <c r="J19" s="59">
        <f>COUNTIF(J7:J18,"SIM")</f>
        <v>5</v>
      </c>
      <c r="K19" s="59">
        <f>COUNTIF(K7:K18,"SIM")</f>
        <v>5</v>
      </c>
      <c r="L19" s="59">
        <f>SUM(L7:L18)</f>
        <v>34.749999999999993</v>
      </c>
      <c r="M19" s="59">
        <f>SUM(M7:M18)</f>
        <v>54.749999999999993</v>
      </c>
      <c r="N19" s="59">
        <f>SUM(N7:N18)</f>
        <v>502.24999999999989</v>
      </c>
      <c r="O19" s="60">
        <f>SUM(O7:O18)</f>
        <v>32976.187338750002</v>
      </c>
      <c r="P19" s="61"/>
      <c r="Q19" s="59" t="s">
        <v>99</v>
      </c>
      <c r="R19" s="62">
        <f t="shared" ref="R19:AG19" si="22">SUM(R7:R18)</f>
        <v>1404.2383874999998</v>
      </c>
      <c r="S19" s="62">
        <f t="shared" si="22"/>
        <v>1685.086065</v>
      </c>
      <c r="T19" s="62">
        <f t="shared" si="22"/>
        <v>2168.7681762500001</v>
      </c>
      <c r="U19" s="62">
        <f t="shared" si="22"/>
        <v>5047.4460762500012</v>
      </c>
      <c r="V19" s="62">
        <f t="shared" si="22"/>
        <v>1398.1360365277778</v>
      </c>
      <c r="W19" s="62">
        <f t="shared" si="22"/>
        <v>0</v>
      </c>
      <c r="X19" s="62">
        <f t="shared" si="22"/>
        <v>0</v>
      </c>
      <c r="Y19" s="62">
        <f t="shared" si="22"/>
        <v>1509.2729166666666</v>
      </c>
      <c r="Z19" s="62">
        <f t="shared" si="22"/>
        <v>4175.0649464166054</v>
      </c>
      <c r="AA19" s="62">
        <f t="shared" si="22"/>
        <v>5010.0779356999246</v>
      </c>
      <c r="AB19" s="62">
        <f t="shared" si="22"/>
        <v>6448.1558616878701</v>
      </c>
      <c r="AC19" s="62">
        <f t="shared" si="22"/>
        <v>10159.324702947075</v>
      </c>
      <c r="AD19" s="62">
        <f t="shared" si="22"/>
        <v>7415.5616201446765</v>
      </c>
      <c r="AE19" s="62">
        <f t="shared" si="22"/>
        <v>8531.4222869279965</v>
      </c>
      <c r="AF19" s="62">
        <f t="shared" si="22"/>
        <v>10453.182324165939</v>
      </c>
      <c r="AG19" s="62">
        <f t="shared" si="22"/>
        <v>17043.029065425144</v>
      </c>
      <c r="AI19" s="205" t="s">
        <v>99</v>
      </c>
      <c r="AJ19" s="205"/>
      <c r="AK19" s="63">
        <f t="shared" ref="AK19:AQ19" si="23">SUM(AK7:AK18)</f>
        <v>9528.1013042239556</v>
      </c>
      <c r="AL19" s="63">
        <f t="shared" si="23"/>
        <v>10961.937626613853</v>
      </c>
      <c r="AM19" s="63">
        <f t="shared" si="23"/>
        <v>13431.322404063118</v>
      </c>
      <c r="AN19" s="63">
        <f t="shared" si="23"/>
        <v>21917.693424601192</v>
      </c>
      <c r="AO19" s="63">
        <f t="shared" si="23"/>
        <v>17247.108699155855</v>
      </c>
      <c r="AP19" s="63">
        <f t="shared" si="23"/>
        <v>51741.32609746758</v>
      </c>
      <c r="AQ19" s="63">
        <f t="shared" si="23"/>
        <v>68988.43479662342</v>
      </c>
    </row>
    <row r="20" spans="2:49" ht="18" customHeight="1">
      <c r="H20" s="64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40"/>
      <c r="AE20" s="40"/>
      <c r="AF20" s="40"/>
      <c r="AG20" s="40"/>
    </row>
    <row r="21" spans="2:49" ht="39.75" customHeight="1">
      <c r="B21" s="199" t="s">
        <v>30</v>
      </c>
      <c r="C21" s="66" t="s">
        <v>100</v>
      </c>
      <c r="D21" s="66" t="s">
        <v>101</v>
      </c>
      <c r="E21" s="66" t="s">
        <v>102</v>
      </c>
      <c r="R21" s="21"/>
      <c r="Z21" s="21"/>
      <c r="AA21" s="21"/>
      <c r="AB21" s="21"/>
      <c r="AC21" s="21"/>
    </row>
    <row r="22" spans="2:49" ht="18" customHeight="1">
      <c r="B22" s="199"/>
      <c r="C22" s="18">
        <f>'Comp. Oficial de Manutenção'!D11</f>
        <v>34.720594999999996</v>
      </c>
      <c r="D22" s="18">
        <f>'Base Maringá'!D23</f>
        <v>27.69</v>
      </c>
      <c r="E22" s="18">
        <f>'Base Maringá'!E23</f>
        <v>40.659999999999997</v>
      </c>
    </row>
    <row r="23" spans="2:49" ht="28.5" customHeight="1">
      <c r="B23" s="36" t="str">
        <f>'Equipe Técnica'!B9</f>
        <v>* SINAPI Maio/2025 (Desonerado)</v>
      </c>
    </row>
    <row r="24" spans="2:49" ht="23.25" customHeight="1"/>
  </sheetData>
  <mergeCells count="44">
    <mergeCell ref="AT12:AU12"/>
    <mergeCell ref="AT13:AU13"/>
    <mergeCell ref="AT14:AU14"/>
    <mergeCell ref="AT15:AU15"/>
    <mergeCell ref="AI19:AJ19"/>
    <mergeCell ref="B21:B22"/>
    <mergeCell ref="AO5:AO6"/>
    <mergeCell ref="AP5:AP6"/>
    <mergeCell ref="AQ5:AQ6"/>
    <mergeCell ref="AS5:AS6"/>
    <mergeCell ref="G5:G6"/>
    <mergeCell ref="N5:N6"/>
    <mergeCell ref="V5:V6"/>
    <mergeCell ref="W5:W6"/>
    <mergeCell ref="X5:X6"/>
    <mergeCell ref="Y5:Y6"/>
    <mergeCell ref="AT11:AU11"/>
    <mergeCell ref="AG5:AG6"/>
    <mergeCell ref="AJ5:AJ6"/>
    <mergeCell ref="AK5:AK6"/>
    <mergeCell ref="AL5:AL6"/>
    <mergeCell ref="AM5:AM6"/>
    <mergeCell ref="AN5:AN6"/>
    <mergeCell ref="AD4:AG4"/>
    <mergeCell ref="AI4:AI6"/>
    <mergeCell ref="AJ4:AN4"/>
    <mergeCell ref="AO4:AQ4"/>
    <mergeCell ref="AT10:AU10"/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AS4:AW4"/>
    <mergeCell ref="Z5:AB5"/>
    <mergeCell ref="AD5:AD6"/>
    <mergeCell ref="AE5:AE6"/>
    <mergeCell ref="AF5:AF6"/>
    <mergeCell ref="Z4:AC4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1799-2518-4582-9B35-A70EC610516E}">
  <sheetPr>
    <tabColor theme="9" tint="0.79998168889431442"/>
  </sheetPr>
  <dimension ref="B1:IZ36"/>
  <sheetViews>
    <sheetView showGridLines="0" zoomScale="110" zoomScaleNormal="110" workbookViewId="0">
      <selection activeCell="E22" sqref="E22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10" t="str">
        <f>"DESLOCAMENTO BASE "&amp;Resumo!B6</f>
        <v>DESLOCAMENTO BASE CASCAVEL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192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103</v>
      </c>
      <c r="C4" s="15" t="str">
        <f>"Rota (saída e retorno "&amp;Resumo!B6&amp;")"</f>
        <v>Rota (saída e retorno CASCAVEL)</v>
      </c>
      <c r="D4" s="15" t="s">
        <v>104</v>
      </c>
      <c r="E4" s="15" t="s">
        <v>105</v>
      </c>
      <c r="F4" s="15" t="s">
        <v>106</v>
      </c>
      <c r="G4" s="15" t="s">
        <v>107</v>
      </c>
      <c r="H4" s="15" t="s">
        <v>108</v>
      </c>
      <c r="I4" s="15" t="s">
        <v>109</v>
      </c>
      <c r="J4" s="15" t="s">
        <v>110</v>
      </c>
      <c r="K4" s="15" t="s">
        <v>111</v>
      </c>
      <c r="L4" s="15" t="s">
        <v>112</v>
      </c>
      <c r="M4" s="70" t="s">
        <v>113</v>
      </c>
      <c r="N4" s="15" t="s">
        <v>114</v>
      </c>
      <c r="O4" s="15" t="s">
        <v>115</v>
      </c>
      <c r="P4" s="15" t="s">
        <v>116</v>
      </c>
      <c r="Q4" s="15" t="s">
        <v>67</v>
      </c>
      <c r="R4" s="15" t="s">
        <v>117</v>
      </c>
      <c r="S4" s="15" t="s">
        <v>118</v>
      </c>
    </row>
    <row r="5" spans="2:19" ht="15.75" customHeight="1">
      <c r="B5" s="71">
        <v>1</v>
      </c>
      <c r="C5" s="56" t="s">
        <v>138</v>
      </c>
      <c r="D5" s="72">
        <v>0</v>
      </c>
      <c r="E5" s="72">
        <v>0</v>
      </c>
      <c r="F5" s="72">
        <v>0</v>
      </c>
      <c r="G5" s="177">
        <f>SUM(D5:F5)</f>
        <v>0</v>
      </c>
      <c r="H5" s="167">
        <v>0</v>
      </c>
      <c r="I5" s="167">
        <v>0</v>
      </c>
      <c r="J5" s="167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78">
        <v>0</v>
      </c>
      <c r="R5" s="168" t="str">
        <f>INDEX('Base Cascavel'!K$7:K$19,MATCH('Desl. Base Cascavel'!C5,'Base Cascavel'!B$7:B$19,0))</f>
        <v>NÃO</v>
      </c>
      <c r="S5" s="179">
        <v>0</v>
      </c>
    </row>
    <row r="6" spans="2:19" ht="15.75" customHeight="1">
      <c r="B6" s="71">
        <v>2</v>
      </c>
      <c r="C6" s="56" t="s">
        <v>139</v>
      </c>
      <c r="D6" s="72">
        <v>0.55000000000000004</v>
      </c>
      <c r="E6" s="72">
        <v>0.6</v>
      </c>
      <c r="F6" s="72">
        <v>0</v>
      </c>
      <c r="G6" s="177">
        <f>SUM(D6:F6)</f>
        <v>1.1499999999999999</v>
      </c>
      <c r="H6" s="167">
        <v>2</v>
      </c>
      <c r="I6" s="167">
        <v>2</v>
      </c>
      <c r="J6" s="167">
        <v>0</v>
      </c>
      <c r="K6" s="74">
        <f>SUM(H6:J6)</f>
        <v>4</v>
      </c>
      <c r="L6" s="77">
        <f>K6/60</f>
        <v>6.6666666666666666E-2</v>
      </c>
      <c r="M6" s="76">
        <v>0</v>
      </c>
      <c r="N6" s="74">
        <v>1</v>
      </c>
      <c r="O6" s="77">
        <f>L6/N6</f>
        <v>6.6666666666666666E-2</v>
      </c>
      <c r="P6" s="178">
        <v>0</v>
      </c>
      <c r="Q6" s="178">
        <v>0</v>
      </c>
      <c r="R6" s="168" t="str">
        <f>INDEX('Base Cascavel'!K$7:K$19,MATCH('Desl. Base Cascavel'!C6,'Base Cascavel'!B$7:B$19,0))</f>
        <v>SIM</v>
      </c>
      <c r="S6" s="179">
        <v>1</v>
      </c>
    </row>
    <row r="7" spans="2:19" ht="15.75" customHeight="1">
      <c r="B7" s="211">
        <v>3</v>
      </c>
      <c r="C7" s="56" t="s">
        <v>140</v>
      </c>
      <c r="D7" s="209">
        <v>45.4</v>
      </c>
      <c r="E7" s="209">
        <f>86.6-D7</f>
        <v>41.199999999999996</v>
      </c>
      <c r="F7" s="209">
        <v>84.2</v>
      </c>
      <c r="G7" s="208">
        <f>SUM(D7:F8)</f>
        <v>170.8</v>
      </c>
      <c r="H7" s="219">
        <v>42</v>
      </c>
      <c r="I7" s="219">
        <f>81-H7</f>
        <v>39</v>
      </c>
      <c r="J7" s="219">
        <v>74</v>
      </c>
      <c r="K7" s="207">
        <f>SUM(H7:J8)</f>
        <v>155</v>
      </c>
      <c r="L7" s="206">
        <f>K7/60</f>
        <v>2.5833333333333335</v>
      </c>
      <c r="M7" s="220">
        <v>0</v>
      </c>
      <c r="N7" s="207">
        <v>2</v>
      </c>
      <c r="O7" s="77">
        <f>L7/N7</f>
        <v>1.2916666666666667</v>
      </c>
      <c r="P7" s="76">
        <v>0</v>
      </c>
      <c r="Q7" s="76">
        <v>0</v>
      </c>
      <c r="R7" s="168" t="str">
        <f>INDEX('Base Cascavel'!K$7:K$19,MATCH('Desl. Base Cascavel'!C7,'Base Cascavel'!B$7:B$19,0))</f>
        <v>SIM</v>
      </c>
      <c r="S7" s="179">
        <v>1</v>
      </c>
    </row>
    <row r="8" spans="2:19" ht="15.75" customHeight="1">
      <c r="B8" s="211"/>
      <c r="C8" s="56" t="s">
        <v>141</v>
      </c>
      <c r="D8" s="209"/>
      <c r="E8" s="209"/>
      <c r="F8" s="209"/>
      <c r="G8" s="208"/>
      <c r="H8" s="219"/>
      <c r="I8" s="219"/>
      <c r="J8" s="219"/>
      <c r="K8" s="207"/>
      <c r="L8" s="206"/>
      <c r="M8" s="220"/>
      <c r="N8" s="207"/>
      <c r="O8" s="77">
        <f>O7</f>
        <v>1.2916666666666667</v>
      </c>
      <c r="P8" s="76">
        <v>0</v>
      </c>
      <c r="Q8" s="76">
        <v>0</v>
      </c>
      <c r="R8" s="168" t="str">
        <f>INDEX('Base Cascavel'!K$7:K$19,MATCH('Desl. Base Cascavel'!C8,'Base Cascavel'!B$7:B$19,0))</f>
        <v>NÃO</v>
      </c>
      <c r="S8" s="179">
        <v>1</v>
      </c>
    </row>
    <row r="9" spans="2:19" ht="15.75" customHeight="1">
      <c r="B9" s="211">
        <v>4</v>
      </c>
      <c r="C9" s="56" t="s">
        <v>142</v>
      </c>
      <c r="D9" s="209">
        <v>85.1</v>
      </c>
      <c r="E9" s="209">
        <f>156-D9</f>
        <v>70.900000000000006</v>
      </c>
      <c r="F9" s="209">
        <v>121</v>
      </c>
      <c r="G9" s="208">
        <f>SUM(D9:F10)</f>
        <v>277</v>
      </c>
      <c r="H9" s="219">
        <v>69</v>
      </c>
      <c r="I9" s="219">
        <f>137-H9</f>
        <v>68</v>
      </c>
      <c r="J9" s="219">
        <v>107</v>
      </c>
      <c r="K9" s="207">
        <f>SUM(H9:J10)</f>
        <v>244</v>
      </c>
      <c r="L9" s="206">
        <f>K9/60</f>
        <v>4.0666666666666664</v>
      </c>
      <c r="M9" s="220">
        <v>0</v>
      </c>
      <c r="N9" s="207">
        <v>2</v>
      </c>
      <c r="O9" s="77">
        <f>L9/N9</f>
        <v>2.0333333333333332</v>
      </c>
      <c r="P9" s="76">
        <v>0</v>
      </c>
      <c r="Q9" s="76">
        <v>0</v>
      </c>
      <c r="R9" s="168" t="str">
        <f>INDEX('Base Cascavel'!K$7:K$19,MATCH('Desl. Base Cascavel'!C9,'Base Cascavel'!B$7:B$19,0))</f>
        <v>NÃO</v>
      </c>
      <c r="S9" s="179">
        <v>1</v>
      </c>
    </row>
    <row r="10" spans="2:19" ht="15.75" customHeight="1">
      <c r="B10" s="211"/>
      <c r="C10" s="56" t="s">
        <v>137</v>
      </c>
      <c r="D10" s="209"/>
      <c r="E10" s="209"/>
      <c r="F10" s="209"/>
      <c r="G10" s="208"/>
      <c r="H10" s="219"/>
      <c r="I10" s="219"/>
      <c r="J10" s="219"/>
      <c r="K10" s="207"/>
      <c r="L10" s="206"/>
      <c r="M10" s="220">
        <v>0</v>
      </c>
      <c r="N10" s="207"/>
      <c r="O10" s="77">
        <f>O9</f>
        <v>2.0333333333333332</v>
      </c>
      <c r="P10" s="76">
        <v>0</v>
      </c>
      <c r="Q10" s="76">
        <v>0</v>
      </c>
      <c r="R10" s="168" t="str">
        <f>INDEX('Base Cascavel'!K$7:K$19,MATCH('Desl. Base Cascavel'!C10,'Base Cascavel'!B$7:B$19,0))</f>
        <v>SIM</v>
      </c>
      <c r="S10" s="179">
        <v>1</v>
      </c>
    </row>
    <row r="11" spans="2:19" ht="15.75" customHeight="1">
      <c r="B11" s="211">
        <v>5</v>
      </c>
      <c r="C11" s="56" t="s">
        <v>143</v>
      </c>
      <c r="D11" s="209">
        <v>98.2</v>
      </c>
      <c r="E11" s="209">
        <f>165-D11</f>
        <v>66.8</v>
      </c>
      <c r="F11" s="209">
        <v>148</v>
      </c>
      <c r="G11" s="208">
        <f>SUM(D11:F12)</f>
        <v>313</v>
      </c>
      <c r="H11" s="219">
        <v>77</v>
      </c>
      <c r="I11" s="219">
        <f>145-H11</f>
        <v>68</v>
      </c>
      <c r="J11" s="219">
        <v>122</v>
      </c>
      <c r="K11" s="207">
        <f>SUM(H11:J12)</f>
        <v>267</v>
      </c>
      <c r="L11" s="206">
        <f>K11/60</f>
        <v>4.45</v>
      </c>
      <c r="M11" s="220">
        <v>0</v>
      </c>
      <c r="N11" s="207">
        <v>2</v>
      </c>
      <c r="O11" s="77">
        <f>L11/N11</f>
        <v>2.2250000000000001</v>
      </c>
      <c r="P11" s="76">
        <v>0</v>
      </c>
      <c r="Q11" s="76">
        <v>0</v>
      </c>
      <c r="R11" s="168" t="str">
        <f>INDEX('Base Cascavel'!K$7:K$19,MATCH('Desl. Base Cascavel'!C11,'Base Cascavel'!B$7:B$19,0))</f>
        <v>NÃO</v>
      </c>
      <c r="S11" s="179">
        <v>1</v>
      </c>
    </row>
    <row r="12" spans="2:19" ht="15.75" customHeight="1">
      <c r="B12" s="211"/>
      <c r="C12" s="56" t="s">
        <v>144</v>
      </c>
      <c r="D12" s="209"/>
      <c r="E12" s="209"/>
      <c r="F12" s="209"/>
      <c r="G12" s="208"/>
      <c r="H12" s="219"/>
      <c r="I12" s="219"/>
      <c r="J12" s="219"/>
      <c r="K12" s="207"/>
      <c r="L12" s="206"/>
      <c r="M12" s="220"/>
      <c r="N12" s="207"/>
      <c r="O12" s="77">
        <f>O11</f>
        <v>2.2250000000000001</v>
      </c>
      <c r="P12" s="76">
        <v>0</v>
      </c>
      <c r="Q12" s="76">
        <v>0</v>
      </c>
      <c r="R12" s="168" t="str">
        <f>INDEX('Base Cascavel'!K$7:K$19,MATCH('Desl. Base Cascavel'!C12,'Base Cascavel'!B$7:B$19,0))</f>
        <v>SIM</v>
      </c>
      <c r="S12" s="179">
        <v>1</v>
      </c>
    </row>
    <row r="13" spans="2:19" ht="15.75" customHeight="1">
      <c r="B13" s="211">
        <v>6</v>
      </c>
      <c r="C13" s="56" t="s">
        <v>145</v>
      </c>
      <c r="D13" s="209">
        <v>82.4</v>
      </c>
      <c r="E13" s="209">
        <f>100-D13</f>
        <v>17.599999999999994</v>
      </c>
      <c r="F13" s="209">
        <v>99.5</v>
      </c>
      <c r="G13" s="208">
        <f>SUM(D13:F14)</f>
        <v>199.5</v>
      </c>
      <c r="H13" s="219">
        <v>73</v>
      </c>
      <c r="I13" s="219">
        <f>90-H13</f>
        <v>17</v>
      </c>
      <c r="J13" s="219">
        <v>89</v>
      </c>
      <c r="K13" s="207">
        <f>SUM(H13:J14)</f>
        <v>179</v>
      </c>
      <c r="L13" s="206">
        <f>K13/60</f>
        <v>2.9833333333333334</v>
      </c>
      <c r="M13" s="220">
        <v>0</v>
      </c>
      <c r="N13" s="207">
        <v>2</v>
      </c>
      <c r="O13" s="77">
        <f>L13/N13</f>
        <v>1.4916666666666667</v>
      </c>
      <c r="P13" s="76">
        <v>0</v>
      </c>
      <c r="Q13" s="76">
        <v>0</v>
      </c>
      <c r="R13" s="168" t="str">
        <f>INDEX('Base Cascavel'!K$7:K$19,MATCH('Desl. Base Cascavel'!C13,'Base Cascavel'!B$7:B$19,0))</f>
        <v>NÃO</v>
      </c>
      <c r="S13" s="179">
        <v>0</v>
      </c>
    </row>
    <row r="14" spans="2:19" ht="15.75" customHeight="1">
      <c r="B14" s="211"/>
      <c r="C14" s="56" t="s">
        <v>146</v>
      </c>
      <c r="D14" s="209"/>
      <c r="E14" s="209"/>
      <c r="F14" s="209"/>
      <c r="G14" s="208"/>
      <c r="H14" s="219"/>
      <c r="I14" s="219"/>
      <c r="J14" s="219"/>
      <c r="K14" s="207"/>
      <c r="L14" s="206"/>
      <c r="M14" s="220"/>
      <c r="N14" s="207"/>
      <c r="O14" s="77">
        <f>O13</f>
        <v>1.4916666666666667</v>
      </c>
      <c r="P14" s="76">
        <v>0</v>
      </c>
      <c r="Q14" s="76">
        <v>0</v>
      </c>
      <c r="R14" s="168" t="str">
        <f>INDEX('Base Cascavel'!K$7:K$19,MATCH('Desl. Base Cascavel'!C14,'Base Cascavel'!B$7:B$19,0))</f>
        <v>NÃO</v>
      </c>
      <c r="S14" s="179">
        <v>0</v>
      </c>
    </row>
    <row r="15" spans="2:19" ht="15.75" customHeight="1">
      <c r="B15" s="71">
        <v>7</v>
      </c>
      <c r="C15" s="56" t="s">
        <v>147</v>
      </c>
      <c r="D15" s="72">
        <v>139</v>
      </c>
      <c r="E15" s="72">
        <v>140</v>
      </c>
      <c r="F15" s="72">
        <v>0</v>
      </c>
      <c r="G15" s="73">
        <f>SUM(D15:F15)</f>
        <v>279</v>
      </c>
      <c r="H15" s="167">
        <v>114</v>
      </c>
      <c r="I15" s="167">
        <v>121</v>
      </c>
      <c r="J15" s="167">
        <v>0</v>
      </c>
      <c r="K15" s="74">
        <f>SUM(H15:J15)</f>
        <v>235</v>
      </c>
      <c r="L15" s="77">
        <f>K15/60</f>
        <v>3.9166666666666665</v>
      </c>
      <c r="M15" s="76">
        <v>0</v>
      </c>
      <c r="N15" s="74">
        <v>1</v>
      </c>
      <c r="O15" s="77">
        <f>L15/N15</f>
        <v>3.9166666666666665</v>
      </c>
      <c r="P15" s="76">
        <v>0</v>
      </c>
      <c r="Q15" s="76">
        <v>0</v>
      </c>
      <c r="R15" s="168" t="str">
        <f>INDEX('Base Cascavel'!K$7:K$19,MATCH('Desl. Base Cascavel'!C15,'Base Cascavel'!B$7:B$19,0))</f>
        <v>SIM</v>
      </c>
      <c r="S15" s="179">
        <v>1</v>
      </c>
    </row>
    <row r="16" spans="2:19" ht="15.75" customHeight="1">
      <c r="B16" s="71">
        <v>8</v>
      </c>
      <c r="C16" s="56" t="s">
        <v>148</v>
      </c>
      <c r="D16" s="72">
        <v>126</v>
      </c>
      <c r="E16" s="72">
        <v>127</v>
      </c>
      <c r="F16" s="72">
        <v>0</v>
      </c>
      <c r="G16" s="73">
        <f>SUM(D16:F16)</f>
        <v>253</v>
      </c>
      <c r="H16" s="167">
        <v>104</v>
      </c>
      <c r="I16" s="167">
        <v>107</v>
      </c>
      <c r="J16" s="167">
        <v>0</v>
      </c>
      <c r="K16" s="74">
        <f>SUM(H16:J16)</f>
        <v>211</v>
      </c>
      <c r="L16" s="180">
        <f>K16/60</f>
        <v>3.5166666666666666</v>
      </c>
      <c r="M16" s="76">
        <v>0</v>
      </c>
      <c r="N16" s="74">
        <v>1</v>
      </c>
      <c r="O16" s="180">
        <f>L16/N16</f>
        <v>3.5166666666666666</v>
      </c>
      <c r="P16" s="76">
        <v>0</v>
      </c>
      <c r="Q16" s="76">
        <v>0</v>
      </c>
      <c r="R16" s="168" t="str">
        <f>INDEX('Base Cascavel'!K$7:K$19,MATCH('Desl. Base Cascavel'!C16,'Base Cascavel'!B$7:B$19,0))</f>
        <v>NÃO</v>
      </c>
      <c r="S16" s="179">
        <v>0</v>
      </c>
    </row>
    <row r="17" spans="2:19" s="67" customFormat="1" ht="19.5" customHeight="1">
      <c r="B17" s="214" t="s">
        <v>99</v>
      </c>
      <c r="C17" s="214"/>
      <c r="D17" s="214"/>
      <c r="E17" s="214"/>
      <c r="F17" s="214"/>
      <c r="G17" s="78">
        <f>SUM(G5:G16)</f>
        <v>1493.45</v>
      </c>
      <c r="H17" s="215" t="s">
        <v>99</v>
      </c>
      <c r="I17" s="215"/>
      <c r="J17" s="215"/>
      <c r="K17" s="79">
        <f t="shared" ref="K17:Q17" si="0">SUM(K5:K16)</f>
        <v>1295</v>
      </c>
      <c r="L17" s="80">
        <f t="shared" si="0"/>
        <v>21.583333333333336</v>
      </c>
      <c r="M17" s="81">
        <f t="shared" si="0"/>
        <v>0</v>
      </c>
      <c r="N17" s="82">
        <f t="shared" si="0"/>
        <v>12</v>
      </c>
      <c r="O17" s="175">
        <f t="shared" si="0"/>
        <v>21.583333333333332</v>
      </c>
      <c r="P17" s="81">
        <f t="shared" si="0"/>
        <v>0</v>
      </c>
      <c r="Q17" s="81">
        <f t="shared" si="0"/>
        <v>0</v>
      </c>
      <c r="R17" s="81"/>
      <c r="S17" s="81"/>
    </row>
    <row r="18" spans="2:19" s="67" customFormat="1" ht="16.5" customHeight="1">
      <c r="B18" s="83"/>
      <c r="C18" s="83"/>
      <c r="D18" s="83"/>
      <c r="E18" s="83"/>
      <c r="F18" s="83"/>
      <c r="N18" s="68"/>
      <c r="O18" s="68"/>
    </row>
    <row r="19" spans="2:19" s="67" customFormat="1" ht="18.75" customHeight="1">
      <c r="B19" s="216" t="s">
        <v>119</v>
      </c>
      <c r="C19" s="216"/>
      <c r="D19" s="216"/>
      <c r="E19" s="216"/>
      <c r="F19" s="83"/>
      <c r="G19" s="83"/>
      <c r="H19" s="83"/>
      <c r="I19" s="83"/>
      <c r="J19" s="83"/>
      <c r="K19" s="83"/>
      <c r="L19" s="83"/>
      <c r="M19" s="83"/>
      <c r="N19" s="84"/>
      <c r="O19" s="84"/>
    </row>
    <row r="20" spans="2:19" s="67" customFormat="1" ht="18.75" customHeight="1">
      <c r="B20" s="85" t="s">
        <v>120</v>
      </c>
      <c r="C20" s="85" t="s">
        <v>121</v>
      </c>
      <c r="D20" s="85" t="s">
        <v>122</v>
      </c>
      <c r="E20" s="85" t="s">
        <v>123</v>
      </c>
      <c r="F20" s="83"/>
      <c r="G20" s="83"/>
      <c r="H20" s="84"/>
      <c r="I20" s="84"/>
      <c r="J20" s="83"/>
      <c r="K20" s="83"/>
      <c r="L20" s="83"/>
      <c r="M20" s="83"/>
      <c r="N20" s="84"/>
      <c r="O20" s="84"/>
    </row>
    <row r="21" spans="2:19" s="67" customFormat="1" ht="18.75" customHeight="1">
      <c r="B21" s="35" t="s">
        <v>124</v>
      </c>
      <c r="C21" s="86" t="s">
        <v>125</v>
      </c>
      <c r="D21" s="35" t="s">
        <v>126</v>
      </c>
      <c r="E21" s="87">
        <f>'Comp. Veículo'!D11</f>
        <v>56.78</v>
      </c>
      <c r="F21" s="83"/>
      <c r="G21" s="83"/>
      <c r="H21" s="88"/>
      <c r="I21" s="88"/>
      <c r="J21" s="83"/>
      <c r="K21" s="83"/>
      <c r="L21" s="83"/>
      <c r="M21" s="83"/>
      <c r="N21" s="84"/>
      <c r="O21" s="84"/>
    </row>
    <row r="22" spans="2:19" s="67" customFormat="1" ht="18.75" customHeight="1">
      <c r="B22" s="89" t="s">
        <v>127</v>
      </c>
      <c r="C22" s="90" t="s">
        <v>125</v>
      </c>
      <c r="D22" s="89" t="s">
        <v>128</v>
      </c>
      <c r="E22" s="91">
        <f>'Comp. Veículo'!D27</f>
        <v>6.78</v>
      </c>
      <c r="F22" s="83"/>
      <c r="G22" s="83"/>
      <c r="H22" s="88"/>
      <c r="I22" s="88"/>
      <c r="J22" s="83"/>
      <c r="K22" s="83"/>
      <c r="L22" s="83"/>
      <c r="M22" s="83"/>
      <c r="N22" s="84"/>
      <c r="O22" s="84"/>
    </row>
    <row r="23" spans="2:19" s="67" customFormat="1" ht="47.25" customHeight="1">
      <c r="B23" s="217" t="s">
        <v>129</v>
      </c>
      <c r="C23" s="217"/>
      <c r="D23" s="217"/>
      <c r="E23" s="217"/>
      <c r="F23" s="92"/>
      <c r="G23" s="92"/>
      <c r="H23" s="92"/>
      <c r="I23" s="92"/>
      <c r="J23" s="92"/>
      <c r="K23" s="92"/>
      <c r="L23" s="92"/>
      <c r="M23" s="83"/>
      <c r="N23" s="84"/>
      <c r="O23" s="84"/>
    </row>
    <row r="24" spans="2:19" s="67" customFormat="1" ht="16.5" customHeight="1">
      <c r="B24" s="93"/>
      <c r="C24" s="93"/>
      <c r="D24" s="93"/>
      <c r="E24" s="93"/>
      <c r="F24" s="92"/>
      <c r="G24" s="92"/>
      <c r="H24" s="92"/>
      <c r="I24" s="92"/>
      <c r="J24" s="92"/>
      <c r="K24" s="92"/>
      <c r="L24" s="92"/>
      <c r="M24" s="83"/>
      <c r="N24" s="84"/>
      <c r="O24" s="84"/>
    </row>
    <row r="25" spans="2:19" s="67" customFormat="1" ht="16.5" customHeight="1">
      <c r="B25" s="216" t="s">
        <v>130</v>
      </c>
      <c r="C25" s="216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/>
      <c r="O25" s="84"/>
    </row>
    <row r="26" spans="2:19" s="67" customFormat="1" ht="16.5" customHeight="1">
      <c r="B26" s="35" t="s">
        <v>126</v>
      </c>
      <c r="C26" s="87">
        <f>E21*L17</f>
        <v>1225.5016666666668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84"/>
    </row>
    <row r="27" spans="2:19" s="67" customFormat="1" ht="16.5" customHeight="1">
      <c r="B27" s="35" t="s">
        <v>128</v>
      </c>
      <c r="C27" s="87">
        <f>E22*('Base Cascavel'!N19/12)</f>
        <v>283.77124999999995</v>
      </c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/>
      <c r="O27" s="84"/>
    </row>
    <row r="28" spans="2:19" s="67" customFormat="1" ht="16.5" customHeight="1">
      <c r="B28" s="94" t="s">
        <v>28</v>
      </c>
      <c r="C28" s="95">
        <f>C26+C27</f>
        <v>1509.2729166666668</v>
      </c>
      <c r="D28" s="83"/>
      <c r="E28" s="83"/>
      <c r="F28" s="83"/>
      <c r="G28" s="83"/>
      <c r="H28" s="83"/>
      <c r="I28" s="83"/>
      <c r="M28" s="83"/>
      <c r="N28" s="84"/>
      <c r="O28" s="84"/>
    </row>
    <row r="29" spans="2:19" s="67" customFormat="1" ht="16.5" customHeight="1">
      <c r="B29" s="83"/>
      <c r="C29" s="96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/>
      <c r="O29" s="84"/>
    </row>
    <row r="30" spans="2:19" s="67" customFormat="1" ht="16.5" customHeight="1">
      <c r="B30" s="218" t="s">
        <v>131</v>
      </c>
      <c r="C30" s="218"/>
      <c r="D30" s="83"/>
      <c r="J30" s="83"/>
      <c r="K30" s="83"/>
      <c r="L30" s="83"/>
      <c r="M30" s="83"/>
      <c r="N30" s="84"/>
      <c r="O30" s="84"/>
    </row>
    <row r="31" spans="2:19" s="67" customFormat="1" ht="16.5" customHeight="1">
      <c r="B31" s="97" t="s">
        <v>123</v>
      </c>
      <c r="C31" s="98">
        <f>SUM(M5:M16)</f>
        <v>0</v>
      </c>
      <c r="J31" s="83"/>
      <c r="K31" s="83"/>
      <c r="L31" s="83"/>
      <c r="M31" s="83"/>
      <c r="N31" s="84"/>
      <c r="O31" s="84"/>
    </row>
    <row r="32" spans="2:19" s="67" customFormat="1" ht="16.5" customHeight="1">
      <c r="B32" s="83"/>
      <c r="C32" s="99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4"/>
    </row>
    <row r="33" spans="2:15" s="67" customFormat="1" ht="12.75">
      <c r="B33" s="212" t="s">
        <v>67</v>
      </c>
      <c r="C33" s="212"/>
      <c r="D33" s="212"/>
      <c r="E33" s="212"/>
      <c r="N33" s="68"/>
      <c r="O33" s="68"/>
    </row>
    <row r="34" spans="2:15" s="67" customFormat="1" ht="12.75">
      <c r="B34" s="100" t="s">
        <v>132</v>
      </c>
      <c r="C34" s="100" t="s">
        <v>121</v>
      </c>
      <c r="D34" s="100" t="s">
        <v>122</v>
      </c>
      <c r="E34" s="100" t="s">
        <v>123</v>
      </c>
      <c r="N34" s="68"/>
      <c r="O34" s="68"/>
    </row>
    <row r="35" spans="2:15" s="67" customFormat="1" ht="25.5">
      <c r="B35" s="89" t="s">
        <v>133</v>
      </c>
      <c r="C35" s="101" t="s">
        <v>134</v>
      </c>
      <c r="D35" s="89" t="s">
        <v>135</v>
      </c>
      <c r="E35" s="91">
        <v>139.4</v>
      </c>
      <c r="N35" s="68"/>
      <c r="O35" s="68"/>
    </row>
    <row r="36" spans="2:15" s="67" customFormat="1" ht="12.75">
      <c r="B36" s="213" t="s">
        <v>136</v>
      </c>
      <c r="C36" s="213"/>
      <c r="D36" s="213"/>
      <c r="E36" s="213"/>
      <c r="N36" s="68"/>
      <c r="O36" s="68"/>
    </row>
  </sheetData>
  <mergeCells count="57">
    <mergeCell ref="B36:E36"/>
    <mergeCell ref="B17:F17"/>
    <mergeCell ref="H17:J17"/>
    <mergeCell ref="L13:L14"/>
    <mergeCell ref="M13:M14"/>
    <mergeCell ref="B19:E19"/>
    <mergeCell ref="B23:E23"/>
    <mergeCell ref="B25:C25"/>
    <mergeCell ref="B30:C30"/>
    <mergeCell ref="B33:E33"/>
    <mergeCell ref="N13:N14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H11:H12"/>
    <mergeCell ref="I11:I12"/>
    <mergeCell ref="J11:J12"/>
    <mergeCell ref="K11:K12"/>
    <mergeCell ref="L11:L12"/>
    <mergeCell ref="B9:B10"/>
    <mergeCell ref="D9:D10"/>
    <mergeCell ref="E9:E10"/>
    <mergeCell ref="F9:F10"/>
    <mergeCell ref="G9:G10"/>
    <mergeCell ref="M11:M12"/>
    <mergeCell ref="J9:J10"/>
    <mergeCell ref="K9:K10"/>
    <mergeCell ref="L9:L10"/>
    <mergeCell ref="M9:M10"/>
    <mergeCell ref="B11:B12"/>
    <mergeCell ref="D11:D12"/>
    <mergeCell ref="E11:E12"/>
    <mergeCell ref="F11:F12"/>
    <mergeCell ref="G11:G12"/>
    <mergeCell ref="H9:H10"/>
    <mergeCell ref="I9:I10"/>
    <mergeCell ref="B2:S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N9:N10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ignoredErrors>
    <ignoredError sqref="K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1:I32"/>
  <sheetViews>
    <sheetView showGridLines="0" zoomScaleNormal="100" workbookViewId="0">
      <selection activeCell="D9" sqref="D9:I9"/>
    </sheetView>
  </sheetViews>
  <sheetFormatPr defaultColWidth="8.625"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</cols>
  <sheetData>
    <row r="1" spans="2:9" ht="15" customHeight="1"/>
    <row r="2" spans="2:9" ht="24.75" customHeight="1">
      <c r="B2" s="221" t="s">
        <v>149</v>
      </c>
      <c r="C2" s="221"/>
      <c r="D2" s="221"/>
      <c r="E2" s="221"/>
      <c r="F2" s="221"/>
      <c r="G2" s="221"/>
      <c r="H2" s="221"/>
      <c r="I2" s="221"/>
    </row>
    <row r="3" spans="2:9" ht="21" customHeight="1"/>
    <row r="4" spans="2:9" ht="16.5" customHeight="1">
      <c r="B4" s="222" t="s">
        <v>150</v>
      </c>
      <c r="C4" s="222"/>
      <c r="D4" s="222"/>
      <c r="E4" s="222"/>
      <c r="F4" s="222"/>
      <c r="G4" s="222"/>
      <c r="H4" s="222"/>
      <c r="I4" s="222"/>
    </row>
    <row r="5" spans="2:9" ht="16.5" customHeight="1">
      <c r="B5" s="223" t="s">
        <v>151</v>
      </c>
      <c r="C5" s="223"/>
      <c r="D5" s="224" t="s">
        <v>152</v>
      </c>
      <c r="E5" s="224"/>
      <c r="F5" s="224"/>
      <c r="G5" s="224"/>
      <c r="H5" s="224"/>
      <c r="I5" s="224"/>
    </row>
    <row r="6" spans="2:9" ht="16.5" customHeight="1">
      <c r="B6" s="223" t="s">
        <v>121</v>
      </c>
      <c r="C6" s="223"/>
      <c r="D6" s="224" t="s">
        <v>153</v>
      </c>
      <c r="E6" s="224"/>
      <c r="F6" s="224"/>
      <c r="G6" s="224"/>
      <c r="H6" s="224"/>
      <c r="I6" s="224"/>
    </row>
    <row r="7" spans="2:9" ht="16.5" customHeight="1">
      <c r="B7" s="223" t="s">
        <v>154</v>
      </c>
      <c r="C7" s="223"/>
      <c r="D7" s="225" t="s">
        <v>155</v>
      </c>
      <c r="E7" s="225"/>
      <c r="F7" s="225"/>
      <c r="G7" s="225"/>
      <c r="H7" s="225"/>
      <c r="I7" s="225"/>
    </row>
    <row r="8" spans="2:9" ht="16.5" customHeight="1">
      <c r="B8" s="223" t="s">
        <v>156</v>
      </c>
      <c r="C8" s="223"/>
      <c r="D8" s="224" t="s">
        <v>157</v>
      </c>
      <c r="E8" s="224"/>
      <c r="F8" s="224"/>
      <c r="G8" s="224"/>
      <c r="H8" s="224"/>
      <c r="I8" s="224"/>
    </row>
    <row r="9" spans="2:9" ht="16.5" customHeight="1">
      <c r="B9" s="223" t="s">
        <v>158</v>
      </c>
      <c r="C9" s="223"/>
      <c r="D9" s="226" t="s">
        <v>159</v>
      </c>
      <c r="E9" s="226"/>
      <c r="F9" s="226"/>
      <c r="G9" s="226"/>
      <c r="H9" s="226"/>
      <c r="I9" s="226"/>
    </row>
    <row r="10" spans="2:9" ht="16.5" customHeight="1">
      <c r="B10" s="223" t="s">
        <v>122</v>
      </c>
      <c r="C10" s="223"/>
      <c r="D10" s="224" t="s">
        <v>126</v>
      </c>
      <c r="E10" s="224"/>
      <c r="F10" s="224"/>
      <c r="G10" s="224"/>
      <c r="H10" s="224"/>
      <c r="I10" s="224"/>
    </row>
    <row r="11" spans="2:9" ht="16.5" customHeight="1">
      <c r="B11" s="223" t="s">
        <v>123</v>
      </c>
      <c r="C11" s="223"/>
      <c r="D11" s="227">
        <f>SUM(I14:I18)</f>
        <v>56.78</v>
      </c>
      <c r="E11" s="227"/>
      <c r="F11" s="227"/>
      <c r="G11" s="227"/>
      <c r="H11" s="227"/>
      <c r="I11" s="227"/>
    </row>
    <row r="12" spans="2:9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9" ht="29.25" customHeight="1">
      <c r="B13" s="104"/>
      <c r="C13" s="104" t="s">
        <v>160</v>
      </c>
      <c r="D13" s="104" t="s">
        <v>121</v>
      </c>
      <c r="E13" s="104" t="s">
        <v>158</v>
      </c>
      <c r="F13" s="104" t="s">
        <v>122</v>
      </c>
      <c r="G13" s="104" t="s">
        <v>161</v>
      </c>
      <c r="H13" s="104" t="s">
        <v>162</v>
      </c>
      <c r="I13" s="104" t="s">
        <v>123</v>
      </c>
    </row>
    <row r="14" spans="2:9" ht="38.25">
      <c r="B14" s="105" t="s">
        <v>163</v>
      </c>
      <c r="C14" s="105" t="s">
        <v>164</v>
      </c>
      <c r="D14" s="106" t="s">
        <v>165</v>
      </c>
      <c r="E14" s="106" t="s">
        <v>166</v>
      </c>
      <c r="F14" s="105" t="s">
        <v>167</v>
      </c>
      <c r="G14" s="171">
        <v>4.7300000000000004</v>
      </c>
      <c r="H14" s="107">
        <v>1</v>
      </c>
      <c r="I14" s="169">
        <f>G14*H14</f>
        <v>4.7300000000000004</v>
      </c>
    </row>
    <row r="15" spans="2:9" ht="38.25">
      <c r="B15" s="105" t="s">
        <v>163</v>
      </c>
      <c r="C15" s="105" t="s">
        <v>168</v>
      </c>
      <c r="D15" s="106" t="s">
        <v>169</v>
      </c>
      <c r="E15" s="106" t="s">
        <v>166</v>
      </c>
      <c r="F15" s="105" t="s">
        <v>167</v>
      </c>
      <c r="G15" s="171">
        <v>1.46</v>
      </c>
      <c r="H15" s="107">
        <v>1</v>
      </c>
      <c r="I15" s="169">
        <f>G15*H15</f>
        <v>1.46</v>
      </c>
    </row>
    <row r="16" spans="2:9" ht="38.25">
      <c r="B16" s="105" t="s">
        <v>163</v>
      </c>
      <c r="C16" s="105" t="s">
        <v>170</v>
      </c>
      <c r="D16" s="106" t="s">
        <v>171</v>
      </c>
      <c r="E16" s="106" t="s">
        <v>166</v>
      </c>
      <c r="F16" s="105" t="s">
        <v>167</v>
      </c>
      <c r="G16" s="171">
        <v>0.59</v>
      </c>
      <c r="H16" s="107">
        <v>1</v>
      </c>
      <c r="I16" s="169">
        <f>G16*H16</f>
        <v>0.59</v>
      </c>
    </row>
    <row r="17" spans="2:9" ht="38.25">
      <c r="B17" s="105" t="s">
        <v>163</v>
      </c>
      <c r="C17" s="105" t="s">
        <v>172</v>
      </c>
      <c r="D17" s="106" t="s">
        <v>173</v>
      </c>
      <c r="E17" s="106" t="s">
        <v>166</v>
      </c>
      <c r="F17" s="105" t="s">
        <v>167</v>
      </c>
      <c r="G17" s="171">
        <v>5.92</v>
      </c>
      <c r="H17" s="107">
        <v>1</v>
      </c>
      <c r="I17" s="169">
        <f>G17*H17</f>
        <v>5.92</v>
      </c>
    </row>
    <row r="18" spans="2:9" ht="38.25">
      <c r="B18" s="105" t="s">
        <v>163</v>
      </c>
      <c r="C18" s="105" t="s">
        <v>174</v>
      </c>
      <c r="D18" s="106" t="s">
        <v>175</v>
      </c>
      <c r="E18" s="106" t="s">
        <v>166</v>
      </c>
      <c r="F18" s="105" t="s">
        <v>167</v>
      </c>
      <c r="G18" s="171">
        <v>44.08</v>
      </c>
      <c r="H18" s="107">
        <v>1</v>
      </c>
      <c r="I18" s="169">
        <f>G18*H18</f>
        <v>44.08</v>
      </c>
    </row>
    <row r="19" spans="2:9" ht="27.75" customHeight="1"/>
    <row r="20" spans="2:9" ht="16.5" customHeight="1">
      <c r="B20" s="221" t="s">
        <v>176</v>
      </c>
      <c r="C20" s="221"/>
      <c r="D20" s="221"/>
      <c r="E20" s="221"/>
      <c r="F20" s="221"/>
      <c r="G20" s="221"/>
      <c r="H20" s="221"/>
      <c r="I20" s="221"/>
    </row>
    <row r="21" spans="2:9" ht="16.5" customHeight="1">
      <c r="B21" s="223" t="s">
        <v>151</v>
      </c>
      <c r="C21" s="223"/>
      <c r="D21" s="224" t="s">
        <v>177</v>
      </c>
      <c r="E21" s="224"/>
      <c r="F21" s="224"/>
      <c r="G21" s="224"/>
      <c r="H21" s="224"/>
      <c r="I21" s="224"/>
    </row>
    <row r="22" spans="2:9" ht="16.5" customHeight="1">
      <c r="B22" s="223" t="s">
        <v>121</v>
      </c>
      <c r="C22" s="223"/>
      <c r="D22" s="224" t="s">
        <v>178</v>
      </c>
      <c r="E22" s="224"/>
      <c r="F22" s="224"/>
      <c r="G22" s="224"/>
      <c r="H22" s="224"/>
      <c r="I22" s="224"/>
    </row>
    <row r="23" spans="2:9" ht="16.5" customHeight="1">
      <c r="B23" s="223" t="s">
        <v>154</v>
      </c>
      <c r="C23" s="223"/>
      <c r="D23" s="228" t="str">
        <f>D7</f>
        <v>05/2025</v>
      </c>
      <c r="E23" s="228"/>
      <c r="F23" s="228"/>
      <c r="G23" s="228"/>
      <c r="H23" s="228"/>
      <c r="I23" s="228"/>
    </row>
    <row r="24" spans="2:9" ht="16.5" customHeight="1">
      <c r="B24" s="223" t="s">
        <v>156</v>
      </c>
      <c r="C24" s="223"/>
      <c r="D24" s="224" t="str">
        <f>D8</f>
        <v>PARANÁ</v>
      </c>
      <c r="E24" s="224"/>
      <c r="F24" s="224"/>
      <c r="G24" s="224"/>
      <c r="H24" s="224"/>
      <c r="I24" s="224"/>
    </row>
    <row r="25" spans="2:9" ht="16.5" customHeight="1">
      <c r="B25" s="223" t="s">
        <v>158</v>
      </c>
      <c r="C25" s="223"/>
      <c r="D25" s="226" t="s">
        <v>159</v>
      </c>
      <c r="E25" s="226"/>
      <c r="F25" s="226"/>
      <c r="G25" s="226"/>
      <c r="H25" s="226"/>
      <c r="I25" s="226"/>
    </row>
    <row r="26" spans="2:9" ht="16.5" customHeight="1">
      <c r="B26" s="223" t="s">
        <v>122</v>
      </c>
      <c r="C26" s="223"/>
      <c r="D26" s="224" t="s">
        <v>128</v>
      </c>
      <c r="E26" s="224"/>
      <c r="F26" s="224"/>
      <c r="G26" s="224"/>
      <c r="H26" s="224"/>
      <c r="I26" s="224"/>
    </row>
    <row r="27" spans="2:9" ht="16.5" customHeight="1">
      <c r="B27" s="223" t="s">
        <v>123</v>
      </c>
      <c r="C27" s="223"/>
      <c r="D27" s="229">
        <f>SUM(I30:I32)</f>
        <v>6.78</v>
      </c>
      <c r="E27" s="229"/>
      <c r="F27" s="229"/>
      <c r="G27" s="229"/>
      <c r="H27" s="229"/>
      <c r="I27" s="229"/>
    </row>
    <row r="28" spans="2:9" ht="15.75" customHeight="1">
      <c r="B28" s="102"/>
      <c r="C28" s="102"/>
      <c r="D28" s="103"/>
      <c r="E28" s="103"/>
      <c r="F28" s="103"/>
      <c r="G28" s="103"/>
      <c r="H28" s="103"/>
      <c r="I28" s="103"/>
    </row>
    <row r="29" spans="2:9" ht="29.25" customHeight="1">
      <c r="B29" s="104"/>
      <c r="C29" s="104" t="s">
        <v>160</v>
      </c>
      <c r="D29" s="104" t="s">
        <v>121</v>
      </c>
      <c r="E29" s="104" t="s">
        <v>158</v>
      </c>
      <c r="F29" s="104" t="s">
        <v>122</v>
      </c>
      <c r="G29" s="104" t="s">
        <v>161</v>
      </c>
      <c r="H29" s="104" t="s">
        <v>162</v>
      </c>
      <c r="I29" s="104" t="s">
        <v>123</v>
      </c>
    </row>
    <row r="30" spans="2:9" ht="38.25">
      <c r="B30" s="105" t="s">
        <v>163</v>
      </c>
      <c r="C30" s="105" t="s">
        <v>164</v>
      </c>
      <c r="D30" s="106" t="s">
        <v>165</v>
      </c>
      <c r="E30" s="106" t="s">
        <v>166</v>
      </c>
      <c r="F30" s="105" t="s">
        <v>167</v>
      </c>
      <c r="G30" s="171">
        <f>G14</f>
        <v>4.7300000000000004</v>
      </c>
      <c r="H30" s="107">
        <v>1</v>
      </c>
      <c r="I30" s="169">
        <f>G30*H30</f>
        <v>4.7300000000000004</v>
      </c>
    </row>
    <row r="31" spans="2:9" ht="38.25">
      <c r="B31" s="105" t="s">
        <v>163</v>
      </c>
      <c r="C31" s="105" t="s">
        <v>168</v>
      </c>
      <c r="D31" s="106" t="s">
        <v>169</v>
      </c>
      <c r="E31" s="106" t="s">
        <v>166</v>
      </c>
      <c r="F31" s="105" t="s">
        <v>167</v>
      </c>
      <c r="G31" s="171">
        <f>G15</f>
        <v>1.46</v>
      </c>
      <c r="H31" s="107">
        <v>1</v>
      </c>
      <c r="I31" s="169">
        <f>G31*H31</f>
        <v>1.46</v>
      </c>
    </row>
    <row r="32" spans="2:9" ht="38.25">
      <c r="B32" s="105" t="s">
        <v>163</v>
      </c>
      <c r="C32" s="105" t="s">
        <v>170</v>
      </c>
      <c r="D32" s="106" t="s">
        <v>171</v>
      </c>
      <c r="E32" s="106" t="s">
        <v>166</v>
      </c>
      <c r="F32" s="105" t="s">
        <v>167</v>
      </c>
      <c r="G32" s="171">
        <f>G16</f>
        <v>0.59</v>
      </c>
      <c r="H32" s="107">
        <v>1</v>
      </c>
      <c r="I32" s="169">
        <f>G32*H32</f>
        <v>0.59</v>
      </c>
    </row>
  </sheetData>
  <mergeCells count="31">
    <mergeCell ref="B27:C27"/>
    <mergeCell ref="D27:I27"/>
    <mergeCell ref="B24:C24"/>
    <mergeCell ref="D24:I24"/>
    <mergeCell ref="B25:C25"/>
    <mergeCell ref="D25:I25"/>
    <mergeCell ref="B26:C26"/>
    <mergeCell ref="D26:I26"/>
    <mergeCell ref="B21:C21"/>
    <mergeCell ref="D21:I21"/>
    <mergeCell ref="B22:C22"/>
    <mergeCell ref="D22:I22"/>
    <mergeCell ref="B23:C23"/>
    <mergeCell ref="D23:I23"/>
    <mergeCell ref="B10:C10"/>
    <mergeCell ref="D10:I10"/>
    <mergeCell ref="B11:C11"/>
    <mergeCell ref="D11:I11"/>
    <mergeCell ref="B20:I20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A1:C16"/>
  <sheetViews>
    <sheetView zoomScale="110" zoomScaleNormal="110" workbookViewId="0">
      <selection activeCell="B16" sqref="B16:C16"/>
    </sheetView>
  </sheetViews>
  <sheetFormatPr defaultColWidth="8.5" defaultRowHeight="14.25"/>
  <cols>
    <col min="2" max="2" width="31.125" customWidth="1"/>
    <col min="3" max="3" width="25.375" customWidth="1"/>
  </cols>
  <sheetData>
    <row r="1" spans="1:3">
      <c r="A1" s="108"/>
    </row>
    <row r="2" spans="1:3" ht="14.25" customHeight="1">
      <c r="A2" s="108"/>
      <c r="B2" s="109"/>
      <c r="C2" s="110" t="s">
        <v>157</v>
      </c>
    </row>
    <row r="3" spans="1:3" ht="14.25" customHeight="1">
      <c r="A3" s="108"/>
      <c r="B3" s="111" t="s">
        <v>179</v>
      </c>
      <c r="C3" s="110" t="s">
        <v>180</v>
      </c>
    </row>
    <row r="4" spans="1:3" ht="14.25" customHeight="1">
      <c r="A4" s="108"/>
      <c r="B4" s="111" t="s">
        <v>181</v>
      </c>
      <c r="C4" s="112" t="s">
        <v>182</v>
      </c>
    </row>
    <row r="5" spans="1:3" ht="14.25" customHeight="1">
      <c r="A5" s="108"/>
      <c r="B5" s="111" t="s">
        <v>183</v>
      </c>
      <c r="C5" s="182">
        <v>45778</v>
      </c>
    </row>
    <row r="6" spans="1:3" ht="14.25" customHeight="1">
      <c r="A6" s="108"/>
      <c r="B6" s="111" t="s">
        <v>184</v>
      </c>
      <c r="C6" s="113">
        <v>62.21</v>
      </c>
    </row>
    <row r="7" spans="1:3" ht="14.25" customHeight="1">
      <c r="A7" s="108"/>
      <c r="B7" s="114"/>
      <c r="C7" s="115"/>
    </row>
    <row r="8" spans="1:3" ht="29.25" customHeight="1">
      <c r="A8" s="108"/>
      <c r="B8" s="116" t="s">
        <v>185</v>
      </c>
      <c r="C8" s="117" t="s">
        <v>186</v>
      </c>
    </row>
    <row r="9" spans="1:3" ht="14.25" customHeight="1">
      <c r="A9" s="108"/>
      <c r="B9" s="111" t="s">
        <v>187</v>
      </c>
      <c r="C9" s="118">
        <v>0.9345</v>
      </c>
    </row>
    <row r="10" spans="1:3" ht="14.25" customHeight="1">
      <c r="A10" s="108"/>
      <c r="B10" s="111" t="s">
        <v>188</v>
      </c>
      <c r="C10" s="118">
        <v>1.1637</v>
      </c>
    </row>
    <row r="11" spans="1:3" ht="14.25" customHeight="1">
      <c r="A11" s="108"/>
      <c r="B11" s="114"/>
      <c r="C11" s="114"/>
    </row>
    <row r="12" spans="1:3" ht="14.25" customHeight="1">
      <c r="A12" s="108"/>
      <c r="B12" s="119" t="s">
        <v>189</v>
      </c>
      <c r="C12" s="120"/>
    </row>
    <row r="13" spans="1:3" ht="14.25" customHeight="1">
      <c r="A13" s="108"/>
      <c r="B13" s="111" t="s">
        <v>190</v>
      </c>
      <c r="C13" s="121">
        <f>C6*(1+C9)</f>
        <v>120.34524499999999</v>
      </c>
    </row>
    <row r="14" spans="1:3" ht="15" customHeight="1">
      <c r="A14" s="108"/>
      <c r="B14" s="111" t="s">
        <v>191</v>
      </c>
      <c r="C14" s="121">
        <f>C6*(1+C10)</f>
        <v>134.60377700000001</v>
      </c>
    </row>
    <row r="15" spans="1:3">
      <c r="A15" s="108"/>
      <c r="B15" s="109"/>
      <c r="C15" s="109"/>
    </row>
    <row r="16" spans="1:3" ht="57" customHeight="1">
      <c r="A16" s="108"/>
      <c r="B16" s="230" t="s">
        <v>192</v>
      </c>
      <c r="C16" s="231"/>
    </row>
  </sheetData>
  <mergeCells count="1">
    <mergeCell ref="B16:C1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E27939-8912-4537-964A-486812C44F2E}"/>
</file>

<file path=customXml/itemProps2.xml><?xml version="1.0" encoding="utf-8"?>
<ds:datastoreItem xmlns:ds="http://schemas.openxmlformats.org/officeDocument/2006/customXml" ds:itemID="{CD77E59F-A27C-46CD-8EB6-5DA4C019F87C}"/>
</file>

<file path=customXml/itemProps3.xml><?xml version="1.0" encoding="utf-8"?>
<ds:datastoreItem xmlns:ds="http://schemas.openxmlformats.org/officeDocument/2006/customXml" ds:itemID="{67087F89-2913-4ACD-8E74-6D5C3FB19D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BRUNO COSSO FERNANDES</cp:lastModifiedBy>
  <cp:revision>39</cp:revision>
  <dcterms:created xsi:type="dcterms:W3CDTF">2022-02-01T12:05:24Z</dcterms:created>
  <dcterms:modified xsi:type="dcterms:W3CDTF">2025-06-23T18:15:22Z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